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customProperty3.bin" ContentType="application/vnd.openxmlformats-officedocument.spreadsheetml.customProperty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oltaneosas-my.sharepoint.com/personal/l_fournet_voltaneo_com/Documents/LUCAS/CALEPINAGE - OUTILS DEVIS/SYSTEME INTEGRATION/"/>
    </mc:Choice>
  </mc:AlternateContent>
  <xr:revisionPtr revIDLastSave="524" documentId="13_ncr:1_{DD3EB11A-5700-4A61-B3CC-3159314D5DE0}" xr6:coauthVersionLast="47" xr6:coauthVersionMax="47" xr10:uidLastSave="{35D7380A-D927-4102-BB07-DD501AD655E2}"/>
  <bookViews>
    <workbookView xWindow="-108" yWindow="-108" windowWidth="23256" windowHeight="12456" tabRatio="829" activeTab="4" xr2:uid="{00000000-000D-0000-FFFF-FFFF00000000}"/>
  </bookViews>
  <sheets>
    <sheet name="Présentation OPTI'ROOF" sheetId="12" r:id="rId1"/>
    <sheet name="Paysage" sheetId="4" r:id="rId2"/>
    <sheet name="Présentation RS-R" sheetId="14" r:id="rId3"/>
    <sheet name="Portrait" sheetId="15" r:id="rId4"/>
    <sheet name="Calcul quantité" sheetId="17" r:id="rId5"/>
    <sheet name="Total note Calcul" sheetId="7" state="hidden" r:id="rId6"/>
    <sheet name="Récapitulatif" sheetId="16" r:id="rId7"/>
  </sheets>
  <externalReferences>
    <externalReference r:id="rId8"/>
  </externalReferences>
  <definedNames>
    <definedName name="_xlnm.Print_Area" localSheetId="6">Récapitulatif!$A$1:$L$81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74" i="17" l="1"/>
  <c r="M374" i="17" s="1"/>
  <c r="N337" i="17"/>
  <c r="M337" i="17" s="1"/>
  <c r="N300" i="17"/>
  <c r="M300" i="17" s="1"/>
  <c r="N263" i="17"/>
  <c r="M263" i="17" s="1"/>
  <c r="N226" i="17"/>
  <c r="U24" i="7"/>
  <c r="N21" i="17"/>
  <c r="N22" i="17"/>
  <c r="M22" i="17" s="1"/>
  <c r="N23" i="17"/>
  <c r="N24" i="17"/>
  <c r="N25" i="17"/>
  <c r="N26" i="17"/>
  <c r="N27" i="17"/>
  <c r="N28" i="17"/>
  <c r="N29" i="17"/>
  <c r="N30" i="17"/>
  <c r="N31" i="17"/>
  <c r="N33" i="17"/>
  <c r="N35" i="17"/>
  <c r="N36" i="17"/>
  <c r="N37" i="17"/>
  <c r="N38" i="17"/>
  <c r="N39" i="17"/>
  <c r="N40" i="17"/>
  <c r="L374" i="17"/>
  <c r="N373" i="17"/>
  <c r="M373" i="17" s="1"/>
  <c r="N372" i="17"/>
  <c r="M372" i="17" s="1"/>
  <c r="N371" i="17"/>
  <c r="M371" i="17" s="1"/>
  <c r="N370" i="17"/>
  <c r="M370" i="17"/>
  <c r="L370" i="17"/>
  <c r="N369" i="17"/>
  <c r="M369" i="17" s="1"/>
  <c r="N368" i="17"/>
  <c r="M368" i="17" s="1"/>
  <c r="N367" i="17"/>
  <c r="M367" i="17" s="1"/>
  <c r="N366" i="17"/>
  <c r="M366" i="17" s="1"/>
  <c r="N365" i="17"/>
  <c r="M365" i="17" s="1"/>
  <c r="N364" i="17"/>
  <c r="M364" i="17" s="1"/>
  <c r="N363" i="17"/>
  <c r="M363" i="17" s="1"/>
  <c r="N362" i="17"/>
  <c r="M362" i="17" s="1"/>
  <c r="N361" i="17"/>
  <c r="M361" i="17" s="1"/>
  <c r="N360" i="17"/>
  <c r="L360" i="17" s="1"/>
  <c r="M360" i="17"/>
  <c r="N359" i="17"/>
  <c r="M359" i="17" s="1"/>
  <c r="N358" i="17"/>
  <c r="M358" i="17" s="1"/>
  <c r="N357" i="17"/>
  <c r="M357" i="17" s="1"/>
  <c r="N356" i="17"/>
  <c r="M356" i="17" s="1"/>
  <c r="N355" i="17"/>
  <c r="M355" i="17" s="1"/>
  <c r="N354" i="17"/>
  <c r="M354" i="17" s="1"/>
  <c r="N352" i="17"/>
  <c r="M352" i="17" s="1"/>
  <c r="N351" i="17"/>
  <c r="M351" i="17" s="1"/>
  <c r="N336" i="17"/>
  <c r="M336" i="17" s="1"/>
  <c r="N335" i="17"/>
  <c r="L335" i="17" s="1"/>
  <c r="N334" i="17"/>
  <c r="M334" i="17" s="1"/>
  <c r="L334" i="17"/>
  <c r="N333" i="17"/>
  <c r="M333" i="17" s="1"/>
  <c r="L333" i="17"/>
  <c r="N332" i="17"/>
  <c r="M332" i="17" s="1"/>
  <c r="N331" i="17"/>
  <c r="M331" i="17" s="1"/>
  <c r="L331" i="17"/>
  <c r="N330" i="17"/>
  <c r="M330" i="17" s="1"/>
  <c r="N329" i="17"/>
  <c r="L329" i="17" s="1"/>
  <c r="N328" i="17"/>
  <c r="M328" i="17" s="1"/>
  <c r="L328" i="17"/>
  <c r="N327" i="17"/>
  <c r="M327" i="17" s="1"/>
  <c r="N326" i="17"/>
  <c r="M326" i="17" s="1"/>
  <c r="L326" i="17"/>
  <c r="N325" i="17"/>
  <c r="M325" i="17" s="1"/>
  <c r="N324" i="17"/>
  <c r="M324" i="17" s="1"/>
  <c r="N323" i="17"/>
  <c r="L323" i="17" s="1"/>
  <c r="M323" i="17"/>
  <c r="N322" i="17"/>
  <c r="M322" i="17" s="1"/>
  <c r="N321" i="17"/>
  <c r="L321" i="17" s="1"/>
  <c r="M321" i="17"/>
  <c r="N320" i="17"/>
  <c r="M320" i="17" s="1"/>
  <c r="L320" i="17"/>
  <c r="N319" i="17"/>
  <c r="M319" i="17" s="1"/>
  <c r="N318" i="17"/>
  <c r="M318" i="17" s="1"/>
  <c r="N317" i="17"/>
  <c r="L317" i="17" s="1"/>
  <c r="M317" i="17"/>
  <c r="N316" i="17"/>
  <c r="M316" i="17" s="1"/>
  <c r="N315" i="17"/>
  <c r="M315" i="17"/>
  <c r="L315" i="17"/>
  <c r="N314" i="17"/>
  <c r="M314" i="17" s="1"/>
  <c r="N299" i="17"/>
  <c r="M299" i="17" s="1"/>
  <c r="N298" i="17"/>
  <c r="L298" i="17" s="1"/>
  <c r="N297" i="17"/>
  <c r="M297" i="17" s="1"/>
  <c r="N296" i="17"/>
  <c r="M296" i="17" s="1"/>
  <c r="N295" i="17"/>
  <c r="M295" i="17" s="1"/>
  <c r="L295" i="17"/>
  <c r="N294" i="17"/>
  <c r="M294" i="17" s="1"/>
  <c r="N293" i="17"/>
  <c r="M293" i="17" s="1"/>
  <c r="N292" i="17"/>
  <c r="L292" i="17" s="1"/>
  <c r="N291" i="17"/>
  <c r="M291" i="17" s="1"/>
  <c r="N290" i="17"/>
  <c r="M290" i="17" s="1"/>
  <c r="N289" i="17"/>
  <c r="M289" i="17" s="1"/>
  <c r="L289" i="17"/>
  <c r="N288" i="17"/>
  <c r="M288" i="17" s="1"/>
  <c r="N287" i="17"/>
  <c r="M287" i="17" s="1"/>
  <c r="N286" i="17"/>
  <c r="L286" i="17" s="1"/>
  <c r="M286" i="17"/>
  <c r="N285" i="17"/>
  <c r="M285" i="17" s="1"/>
  <c r="L285" i="17"/>
  <c r="N284" i="17"/>
  <c r="L284" i="17" s="1"/>
  <c r="M284" i="17"/>
  <c r="N283" i="17"/>
  <c r="M283" i="17" s="1"/>
  <c r="L283" i="17"/>
  <c r="N282" i="17"/>
  <c r="M282" i="17" s="1"/>
  <c r="N281" i="17"/>
  <c r="M281" i="17" s="1"/>
  <c r="N280" i="17"/>
  <c r="L280" i="17" s="1"/>
  <c r="M280" i="17"/>
  <c r="N279" i="17"/>
  <c r="M279" i="17" s="1"/>
  <c r="N278" i="17"/>
  <c r="M278" i="17" s="1"/>
  <c r="N277" i="17"/>
  <c r="M277" i="17" s="1"/>
  <c r="N262" i="17"/>
  <c r="M262" i="17" s="1"/>
  <c r="N261" i="17"/>
  <c r="L261" i="17" s="1"/>
  <c r="N260" i="17"/>
  <c r="M260" i="17" s="1"/>
  <c r="L260" i="17"/>
  <c r="N259" i="17"/>
  <c r="M259" i="17" s="1"/>
  <c r="N258" i="17"/>
  <c r="M258" i="17" s="1"/>
  <c r="L258" i="17"/>
  <c r="N257" i="17"/>
  <c r="M257" i="17" s="1"/>
  <c r="N256" i="17"/>
  <c r="M256" i="17" s="1"/>
  <c r="N255" i="17"/>
  <c r="L255" i="17" s="1"/>
  <c r="N254" i="17"/>
  <c r="M254" i="17" s="1"/>
  <c r="L254" i="17"/>
  <c r="N253" i="17"/>
  <c r="M253" i="17" s="1"/>
  <c r="N252" i="17"/>
  <c r="M252" i="17" s="1"/>
  <c r="L252" i="17"/>
  <c r="N251" i="17"/>
  <c r="M251" i="17" s="1"/>
  <c r="N250" i="17"/>
  <c r="M250" i="17" s="1"/>
  <c r="N249" i="17"/>
  <c r="L249" i="17" s="1"/>
  <c r="M249" i="17"/>
  <c r="N248" i="17"/>
  <c r="M248" i="17" s="1"/>
  <c r="L248" i="17"/>
  <c r="N247" i="17"/>
  <c r="L247" i="17" s="1"/>
  <c r="M247" i="17"/>
  <c r="N246" i="17"/>
  <c r="M246" i="17" s="1"/>
  <c r="N245" i="17"/>
  <c r="M245" i="17" s="1"/>
  <c r="N244" i="17"/>
  <c r="M244" i="17" s="1"/>
  <c r="N243" i="17"/>
  <c r="L243" i="17" s="1"/>
  <c r="M243" i="17"/>
  <c r="N241" i="17"/>
  <c r="M241" i="17"/>
  <c r="L241" i="17"/>
  <c r="N240" i="17"/>
  <c r="M240" i="17" s="1"/>
  <c r="L240" i="17"/>
  <c r="M226" i="17"/>
  <c r="N225" i="17"/>
  <c r="M225" i="17" s="1"/>
  <c r="N224" i="17"/>
  <c r="L224" i="17" s="1"/>
  <c r="N223" i="17"/>
  <c r="M223" i="17" s="1"/>
  <c r="L223" i="17"/>
  <c r="N222" i="17"/>
  <c r="M222" i="17" s="1"/>
  <c r="L222" i="17"/>
  <c r="N221" i="17"/>
  <c r="M221" i="17" s="1"/>
  <c r="N220" i="17"/>
  <c r="M220" i="17" s="1"/>
  <c r="N219" i="17"/>
  <c r="M219" i="17" s="1"/>
  <c r="N218" i="17"/>
  <c r="L218" i="17" s="1"/>
  <c r="N217" i="17"/>
  <c r="M217" i="17" s="1"/>
  <c r="L217" i="17"/>
  <c r="N216" i="17"/>
  <c r="M216" i="17" s="1"/>
  <c r="L216" i="17"/>
  <c r="N215" i="17"/>
  <c r="M215" i="17" s="1"/>
  <c r="N214" i="17"/>
  <c r="M214" i="17" s="1"/>
  <c r="N213" i="17"/>
  <c r="M213" i="17" s="1"/>
  <c r="N212" i="17"/>
  <c r="L212" i="17" s="1"/>
  <c r="N211" i="17"/>
  <c r="M211" i="17" s="1"/>
  <c r="L211" i="17"/>
  <c r="N210" i="17"/>
  <c r="M210" i="17" s="1"/>
  <c r="N209" i="17"/>
  <c r="M209" i="17" s="1"/>
  <c r="L209" i="17"/>
  <c r="N208" i="17"/>
  <c r="M208" i="17" s="1"/>
  <c r="L208" i="17"/>
  <c r="N207" i="17"/>
  <c r="M207" i="17" s="1"/>
  <c r="N206" i="17"/>
  <c r="L206" i="17" s="1"/>
  <c r="N204" i="17"/>
  <c r="L204" i="17" s="1"/>
  <c r="M204" i="17"/>
  <c r="N203" i="17"/>
  <c r="M203" i="17" s="1"/>
  <c r="L203" i="17"/>
  <c r="N188" i="17"/>
  <c r="M188" i="17" s="1"/>
  <c r="N187" i="17"/>
  <c r="L187" i="17" s="1"/>
  <c r="N186" i="17"/>
  <c r="M186" i="17" s="1"/>
  <c r="N185" i="17"/>
  <c r="M185" i="17" s="1"/>
  <c r="N184" i="17"/>
  <c r="M184" i="17" s="1"/>
  <c r="N183" i="17"/>
  <c r="M183" i="17" s="1"/>
  <c r="N182" i="17"/>
  <c r="M182" i="17" s="1"/>
  <c r="N181" i="17"/>
  <c r="L181" i="17" s="1"/>
  <c r="N179" i="17"/>
  <c r="M179" i="17" s="1"/>
  <c r="N178" i="17"/>
  <c r="M178" i="17" s="1"/>
  <c r="N177" i="17"/>
  <c r="M177" i="17" s="1"/>
  <c r="N176" i="17"/>
  <c r="M176" i="17" s="1"/>
  <c r="N175" i="17"/>
  <c r="L175" i="17" s="1"/>
  <c r="N174" i="17"/>
  <c r="M174" i="17" s="1"/>
  <c r="N173" i="17"/>
  <c r="M173" i="17" s="1"/>
  <c r="N172" i="17"/>
  <c r="M172" i="17" s="1"/>
  <c r="N171" i="17"/>
  <c r="M171" i="17" s="1"/>
  <c r="N170" i="17"/>
  <c r="M170" i="17" s="1"/>
  <c r="N169" i="17"/>
  <c r="N167" i="17"/>
  <c r="L167" i="17" s="1"/>
  <c r="N166" i="17"/>
  <c r="M166" i="17" s="1"/>
  <c r="N151" i="17"/>
  <c r="M151" i="17" s="1"/>
  <c r="N150" i="17"/>
  <c r="L150" i="17" s="1"/>
  <c r="N149" i="17"/>
  <c r="M149" i="17" s="1"/>
  <c r="N148" i="17"/>
  <c r="M148" i="17" s="1"/>
  <c r="N147" i="17"/>
  <c r="M147" i="17" s="1"/>
  <c r="N146" i="17"/>
  <c r="M146" i="17" s="1"/>
  <c r="N145" i="17"/>
  <c r="M145" i="17" s="1"/>
  <c r="N144" i="17"/>
  <c r="L144" i="17" s="1"/>
  <c r="N142" i="17"/>
  <c r="M142" i="17" s="1"/>
  <c r="N141" i="17"/>
  <c r="M141" i="17" s="1"/>
  <c r="N140" i="17"/>
  <c r="M140" i="17" s="1"/>
  <c r="N139" i="17"/>
  <c r="M139" i="17" s="1"/>
  <c r="N138" i="17"/>
  <c r="L138" i="17" s="1"/>
  <c r="N137" i="17"/>
  <c r="M137" i="17" s="1"/>
  <c r="N136" i="17"/>
  <c r="L136" i="17" s="1"/>
  <c r="N135" i="17"/>
  <c r="M135" i="17" s="1"/>
  <c r="N134" i="17"/>
  <c r="M134" i="17" s="1"/>
  <c r="N133" i="17"/>
  <c r="M133" i="17" s="1"/>
  <c r="N132" i="17"/>
  <c r="N130" i="17"/>
  <c r="L130" i="17" s="1"/>
  <c r="N129" i="17"/>
  <c r="M129" i="17" s="1"/>
  <c r="N114" i="17"/>
  <c r="M114" i="17" s="1"/>
  <c r="N113" i="17"/>
  <c r="L113" i="17" s="1"/>
  <c r="N112" i="17"/>
  <c r="L112" i="17" s="1"/>
  <c r="N111" i="17"/>
  <c r="L111" i="17" s="1"/>
  <c r="N110" i="17"/>
  <c r="M110" i="17" s="1"/>
  <c r="N109" i="17"/>
  <c r="L109" i="17" s="1"/>
  <c r="N108" i="17"/>
  <c r="M108" i="17" s="1"/>
  <c r="N107" i="17"/>
  <c r="L107" i="17" s="1"/>
  <c r="N105" i="17"/>
  <c r="L105" i="17" s="1"/>
  <c r="N104" i="17"/>
  <c r="M104" i="17" s="1"/>
  <c r="N103" i="17"/>
  <c r="L103" i="17" s="1"/>
  <c r="N102" i="17"/>
  <c r="M102" i="17" s="1"/>
  <c r="N101" i="17"/>
  <c r="L101" i="17" s="1"/>
  <c r="N100" i="17"/>
  <c r="M100" i="17" s="1"/>
  <c r="N99" i="17"/>
  <c r="L99" i="17" s="1"/>
  <c r="N98" i="17"/>
  <c r="M98" i="17" s="1"/>
  <c r="N97" i="17"/>
  <c r="L97" i="17" s="1"/>
  <c r="N96" i="17"/>
  <c r="M96" i="17" s="1"/>
  <c r="N95" i="17"/>
  <c r="N93" i="17"/>
  <c r="L93" i="17" s="1"/>
  <c r="N92" i="17"/>
  <c r="N77" i="17"/>
  <c r="M77" i="17" s="1"/>
  <c r="N76" i="17"/>
  <c r="L76" i="17" s="1"/>
  <c r="N75" i="17"/>
  <c r="M75" i="17" s="1"/>
  <c r="N74" i="17"/>
  <c r="L74" i="17" s="1"/>
  <c r="N72" i="17"/>
  <c r="L72" i="17" s="1"/>
  <c r="N70" i="17"/>
  <c r="L70" i="17" s="1"/>
  <c r="N68" i="17"/>
  <c r="L68" i="17" s="1"/>
  <c r="N67" i="17"/>
  <c r="M67" i="17" s="1"/>
  <c r="N66" i="17"/>
  <c r="L66" i="17" s="1"/>
  <c r="N65" i="17"/>
  <c r="M65" i="17" s="1"/>
  <c r="N64" i="17"/>
  <c r="L64" i="17" s="1"/>
  <c r="N63" i="17"/>
  <c r="M63" i="17" s="1"/>
  <c r="N62" i="17"/>
  <c r="L62" i="17" s="1"/>
  <c r="N61" i="17"/>
  <c r="M61" i="17" s="1"/>
  <c r="N60" i="17"/>
  <c r="N73" i="17" s="1"/>
  <c r="M73" i="17" s="1"/>
  <c r="N59" i="17"/>
  <c r="M59" i="17" s="1"/>
  <c r="N58" i="17"/>
  <c r="N55" i="17"/>
  <c r="N18" i="17"/>
  <c r="N19" i="17" s="1"/>
  <c r="M19" i="17" s="1"/>
  <c r="N180" i="17" l="1"/>
  <c r="M180" i="17" s="1"/>
  <c r="L172" i="17"/>
  <c r="L171" i="17"/>
  <c r="L166" i="17"/>
  <c r="N168" i="17" s="1"/>
  <c r="M167" i="17"/>
  <c r="M175" i="17"/>
  <c r="L183" i="17"/>
  <c r="M169" i="17"/>
  <c r="L169" i="17" s="1"/>
  <c r="L185" i="17"/>
  <c r="L179" i="17"/>
  <c r="L186" i="17"/>
  <c r="M187" i="17"/>
  <c r="M181" i="17"/>
  <c r="N143" i="17"/>
  <c r="M143" i="17" s="1"/>
  <c r="M138" i="17"/>
  <c r="M130" i="17"/>
  <c r="L134" i="17"/>
  <c r="L137" i="17"/>
  <c r="L146" i="17"/>
  <c r="M132" i="17"/>
  <c r="L132" i="17" s="1"/>
  <c r="M150" i="17"/>
  <c r="L129" i="17"/>
  <c r="N131" i="17" s="1"/>
  <c r="M136" i="17"/>
  <c r="M144" i="17"/>
  <c r="N106" i="17"/>
  <c r="M106" i="17" s="1"/>
  <c r="L365" i="17"/>
  <c r="L141" i="17"/>
  <c r="L147" i="17"/>
  <c r="L173" i="17"/>
  <c r="N205" i="17"/>
  <c r="M218" i="17"/>
  <c r="M224" i="17"/>
  <c r="L257" i="17"/>
  <c r="L277" i="17"/>
  <c r="L290" i="17"/>
  <c r="L296" i="17"/>
  <c r="L322" i="17"/>
  <c r="M335" i="17"/>
  <c r="L358" i="17"/>
  <c r="L279" i="17"/>
  <c r="L135" i="17"/>
  <c r="M206" i="17"/>
  <c r="M212" i="17"/>
  <c r="L245" i="17"/>
  <c r="M329" i="17"/>
  <c r="L316" i="17"/>
  <c r="L142" i="17"/>
  <c r="L148" i="17"/>
  <c r="L278" i="17"/>
  <c r="L174" i="17"/>
  <c r="L220" i="17"/>
  <c r="L246" i="17"/>
  <c r="L291" i="17"/>
  <c r="L297" i="17"/>
  <c r="L351" i="17"/>
  <c r="L368" i="17"/>
  <c r="L253" i="17"/>
  <c r="L259" i="17"/>
  <c r="L215" i="17"/>
  <c r="L221" i="17"/>
  <c r="M292" i="17"/>
  <c r="M298" i="17"/>
  <c r="L319" i="17"/>
  <c r="N353" i="17"/>
  <c r="L149" i="17"/>
  <c r="L210" i="17"/>
  <c r="L294" i="17"/>
  <c r="L314" i="17"/>
  <c r="L327" i="17"/>
  <c r="L363" i="17"/>
  <c r="L178" i="17"/>
  <c r="L184" i="17"/>
  <c r="N242" i="17"/>
  <c r="M255" i="17"/>
  <c r="M261" i="17"/>
  <c r="L282" i="17"/>
  <c r="L356" i="17"/>
  <c r="M113" i="17"/>
  <c r="M95" i="17"/>
  <c r="L95" i="17" s="1"/>
  <c r="M107" i="17"/>
  <c r="M109" i="17"/>
  <c r="M101" i="17"/>
  <c r="M112" i="17"/>
  <c r="M97" i="17"/>
  <c r="M99" i="17"/>
  <c r="M93" i="17"/>
  <c r="M111" i="17"/>
  <c r="M103" i="17"/>
  <c r="M105" i="17"/>
  <c r="N34" i="17"/>
  <c r="L60" i="17"/>
  <c r="N71" i="17"/>
  <c r="M71" i="17" s="1"/>
  <c r="N69" i="17"/>
  <c r="M69" i="17" s="1"/>
  <c r="N56" i="17"/>
  <c r="M76" i="17"/>
  <c r="M68" i="17"/>
  <c r="M64" i="17"/>
  <c r="M72" i="17"/>
  <c r="M60" i="17"/>
  <c r="M58" i="17"/>
  <c r="L58" i="17" s="1"/>
  <c r="M66" i="17"/>
  <c r="M74" i="17"/>
  <c r="M70" i="17"/>
  <c r="M62" i="17"/>
  <c r="N32" i="17"/>
  <c r="L25" i="17"/>
  <c r="M25" i="17"/>
  <c r="M21" i="17"/>
  <c r="L21" i="17" s="1"/>
  <c r="M23" i="17"/>
  <c r="L23" i="17" s="1"/>
  <c r="L19" i="17"/>
  <c r="L22" i="17"/>
  <c r="L59" i="17"/>
  <c r="L61" i="17"/>
  <c r="L63" i="17"/>
  <c r="L65" i="17"/>
  <c r="L67" i="17"/>
  <c r="L73" i="17"/>
  <c r="L75" i="17"/>
  <c r="L77" i="17"/>
  <c r="L96" i="17"/>
  <c r="L98" i="17"/>
  <c r="L100" i="17"/>
  <c r="L102" i="17"/>
  <c r="L104" i="17"/>
  <c r="L108" i="17"/>
  <c r="L110" i="17"/>
  <c r="L114" i="17"/>
  <c r="L139" i="17"/>
  <c r="L151" i="17"/>
  <c r="L176" i="17"/>
  <c r="L188" i="17"/>
  <c r="L213" i="17"/>
  <c r="L225" i="17"/>
  <c r="L250" i="17"/>
  <c r="L262" i="17"/>
  <c r="L287" i="17"/>
  <c r="L299" i="17"/>
  <c r="L324" i="17"/>
  <c r="L336" i="17"/>
  <c r="L354" i="17"/>
  <c r="L361" i="17"/>
  <c r="L366" i="17"/>
  <c r="L373" i="17"/>
  <c r="M18" i="17"/>
  <c r="L18" i="17" s="1"/>
  <c r="N20" i="17" s="1"/>
  <c r="M55" i="17"/>
  <c r="L55" i="17" s="1"/>
  <c r="N57" i="17" s="1"/>
  <c r="M92" i="17"/>
  <c r="L92" i="17" s="1"/>
  <c r="N94" i="17" s="1"/>
  <c r="L352" i="17"/>
  <c r="L359" i="17"/>
  <c r="L364" i="17"/>
  <c r="L371" i="17"/>
  <c r="L140" i="17"/>
  <c r="L177" i="17"/>
  <c r="L214" i="17"/>
  <c r="L226" i="17"/>
  <c r="L251" i="17"/>
  <c r="L263" i="17"/>
  <c r="L288" i="17"/>
  <c r="L300" i="17"/>
  <c r="L325" i="17"/>
  <c r="L332" i="17"/>
  <c r="L337" i="17"/>
  <c r="L357" i="17"/>
  <c r="L362" i="17"/>
  <c r="L369" i="17"/>
  <c r="L133" i="17"/>
  <c r="L145" i="17"/>
  <c r="L170" i="17"/>
  <c r="L182" i="17"/>
  <c r="L207" i="17"/>
  <c r="L219" i="17"/>
  <c r="L244" i="17"/>
  <c r="L256" i="17"/>
  <c r="L281" i="17"/>
  <c r="L293" i="17"/>
  <c r="L318" i="17"/>
  <c r="L330" i="17"/>
  <c r="L355" i="17"/>
  <c r="L367" i="17"/>
  <c r="L372" i="17"/>
  <c r="L180" i="17" l="1"/>
  <c r="N189" i="17" s="1"/>
  <c r="M189" i="17" s="1"/>
  <c r="M168" i="17"/>
  <c r="L168" i="17" s="1"/>
  <c r="L143" i="17"/>
  <c r="N152" i="17" s="1"/>
  <c r="M152" i="17" s="1"/>
  <c r="M131" i="17"/>
  <c r="L131" i="17" s="1"/>
  <c r="L106" i="17"/>
  <c r="N115" i="17" s="1"/>
  <c r="M115" i="17" s="1"/>
  <c r="M205" i="17"/>
  <c r="L205" i="17"/>
  <c r="M353" i="17"/>
  <c r="L353" i="17"/>
  <c r="M242" i="17"/>
  <c r="L242" i="17"/>
  <c r="M94" i="17"/>
  <c r="L94" i="17" s="1"/>
  <c r="L71" i="17"/>
  <c r="L69" i="17"/>
  <c r="M56" i="17"/>
  <c r="L56" i="17" s="1"/>
  <c r="M57" i="17"/>
  <c r="L57" i="17" s="1"/>
  <c r="M24" i="17"/>
  <c r="L24" i="17"/>
  <c r="M27" i="17"/>
  <c r="L27" i="17" s="1"/>
  <c r="M20" i="17"/>
  <c r="L20" i="17" s="1"/>
  <c r="L189" i="17" l="1"/>
  <c r="L152" i="17"/>
  <c r="L115" i="17"/>
  <c r="R20" i="7"/>
  <c r="N78" i="17"/>
  <c r="M78" i="17" s="1"/>
  <c r="M26" i="17"/>
  <c r="L26" i="17"/>
  <c r="L29" i="17"/>
  <c r="M29" i="17"/>
  <c r="H364" i="17"/>
  <c r="F364" i="17" s="1"/>
  <c r="E364" i="17" s="1"/>
  <c r="H363" i="17"/>
  <c r="F363" i="17" s="1"/>
  <c r="E363" i="17" s="1"/>
  <c r="H362" i="17"/>
  <c r="G362" i="17" s="1"/>
  <c r="H361" i="17"/>
  <c r="F361" i="17" s="1"/>
  <c r="E361" i="17" s="1"/>
  <c r="H360" i="17"/>
  <c r="F360" i="17" s="1"/>
  <c r="E360" i="17" s="1"/>
  <c r="H359" i="17"/>
  <c r="G359" i="17" s="1"/>
  <c r="H358" i="17"/>
  <c r="F358" i="17" s="1"/>
  <c r="E358" i="17" s="1"/>
  <c r="H357" i="17"/>
  <c r="F357" i="17" s="1"/>
  <c r="E357" i="17" s="1"/>
  <c r="H356" i="17"/>
  <c r="F356" i="17" s="1"/>
  <c r="E356" i="17" s="1"/>
  <c r="H355" i="17"/>
  <c r="F355" i="17" s="1"/>
  <c r="E355" i="17" s="1"/>
  <c r="H352" i="17"/>
  <c r="F352" i="17" s="1"/>
  <c r="E352" i="17" s="1"/>
  <c r="H351" i="17"/>
  <c r="G351" i="17" s="1"/>
  <c r="G350" i="17"/>
  <c r="H327" i="17"/>
  <c r="F327" i="17" s="1"/>
  <c r="E327" i="17" s="1"/>
  <c r="H326" i="17"/>
  <c r="G326" i="17" s="1"/>
  <c r="H325" i="17"/>
  <c r="G325" i="17" s="1"/>
  <c r="H324" i="17"/>
  <c r="F324" i="17" s="1"/>
  <c r="E324" i="17" s="1"/>
  <c r="H323" i="17"/>
  <c r="G323" i="17" s="1"/>
  <c r="H322" i="17"/>
  <c r="G322" i="17" s="1"/>
  <c r="H321" i="17"/>
  <c r="F321" i="17" s="1"/>
  <c r="E321" i="17" s="1"/>
  <c r="H320" i="17"/>
  <c r="G320" i="17" s="1"/>
  <c r="H319" i="17"/>
  <c r="G319" i="17" s="1"/>
  <c r="H318" i="17"/>
  <c r="G318" i="17" s="1"/>
  <c r="H315" i="17"/>
  <c r="G315" i="17" s="1"/>
  <c r="H314" i="17"/>
  <c r="H317" i="17" s="1"/>
  <c r="G317" i="17" s="1"/>
  <c r="G313" i="17"/>
  <c r="H290" i="17"/>
  <c r="F290" i="17" s="1"/>
  <c r="E290" i="17" s="1"/>
  <c r="H289" i="17"/>
  <c r="G289" i="17" s="1"/>
  <c r="H288" i="17"/>
  <c r="G288" i="17" s="1"/>
  <c r="H287" i="17"/>
  <c r="F287" i="17" s="1"/>
  <c r="E287" i="17" s="1"/>
  <c r="H286" i="17"/>
  <c r="G286" i="17" s="1"/>
  <c r="H285" i="17"/>
  <c r="G285" i="17" s="1"/>
  <c r="H284" i="17"/>
  <c r="F284" i="17" s="1"/>
  <c r="E284" i="17" s="1"/>
  <c r="H283" i="17"/>
  <c r="G283" i="17" s="1"/>
  <c r="H282" i="17"/>
  <c r="G282" i="17" s="1"/>
  <c r="H281" i="17"/>
  <c r="F281" i="17" s="1"/>
  <c r="E281" i="17" s="1"/>
  <c r="H278" i="17"/>
  <c r="F278" i="17" s="1"/>
  <c r="E278" i="17" s="1"/>
  <c r="H277" i="17"/>
  <c r="H280" i="17" s="1"/>
  <c r="G280" i="17" s="1"/>
  <c r="G276" i="17"/>
  <c r="H253" i="17"/>
  <c r="F253" i="17" s="1"/>
  <c r="E253" i="17" s="1"/>
  <c r="H252" i="17"/>
  <c r="G252" i="17" s="1"/>
  <c r="H251" i="17"/>
  <c r="G251" i="17" s="1"/>
  <c r="H250" i="17"/>
  <c r="F250" i="17" s="1"/>
  <c r="E250" i="17" s="1"/>
  <c r="H249" i="17"/>
  <c r="G249" i="17" s="1"/>
  <c r="H248" i="17"/>
  <c r="G248" i="17" s="1"/>
  <c r="H247" i="17"/>
  <c r="F247" i="17" s="1"/>
  <c r="E247" i="17" s="1"/>
  <c r="H246" i="17"/>
  <c r="F246" i="17" s="1"/>
  <c r="E246" i="17" s="1"/>
  <c r="H245" i="17"/>
  <c r="G245" i="17" s="1"/>
  <c r="H244" i="17"/>
  <c r="F244" i="17" s="1"/>
  <c r="E244" i="17" s="1"/>
  <c r="H241" i="17"/>
  <c r="F241" i="17" s="1"/>
  <c r="E241" i="17" s="1"/>
  <c r="H240" i="17"/>
  <c r="G239" i="17"/>
  <c r="H216" i="17"/>
  <c r="G216" i="17" s="1"/>
  <c r="H215" i="17"/>
  <c r="F215" i="17" s="1"/>
  <c r="E215" i="17" s="1"/>
  <c r="H214" i="17"/>
  <c r="G214" i="17" s="1"/>
  <c r="H213" i="17"/>
  <c r="G213" i="17" s="1"/>
  <c r="H212" i="17"/>
  <c r="F212" i="17" s="1"/>
  <c r="E212" i="17" s="1"/>
  <c r="H211" i="17"/>
  <c r="G211" i="17" s="1"/>
  <c r="H210" i="17"/>
  <c r="G210" i="17" s="1"/>
  <c r="H209" i="17"/>
  <c r="F209" i="17" s="1"/>
  <c r="E209" i="17" s="1"/>
  <c r="H208" i="17"/>
  <c r="G208" i="17" s="1"/>
  <c r="H207" i="17"/>
  <c r="G207" i="17" s="1"/>
  <c r="H204" i="17"/>
  <c r="G204" i="17" s="1"/>
  <c r="H203" i="17"/>
  <c r="G202" i="17"/>
  <c r="H179" i="17"/>
  <c r="G179" i="17" s="1"/>
  <c r="H178" i="17"/>
  <c r="G178" i="17" s="1"/>
  <c r="H177" i="17"/>
  <c r="G177" i="17" s="1"/>
  <c r="H176" i="17"/>
  <c r="G176" i="17" s="1"/>
  <c r="H175" i="17"/>
  <c r="G175" i="17" s="1"/>
  <c r="H174" i="17"/>
  <c r="G174" i="17" s="1"/>
  <c r="H173" i="17"/>
  <c r="G173" i="17" s="1"/>
  <c r="H172" i="17"/>
  <c r="G172" i="17" s="1"/>
  <c r="H171" i="17"/>
  <c r="G171" i="17" s="1"/>
  <c r="H170" i="17"/>
  <c r="G170" i="17" s="1"/>
  <c r="H167" i="17"/>
  <c r="G167" i="17" s="1"/>
  <c r="H166" i="17"/>
  <c r="H169" i="17" s="1"/>
  <c r="G169" i="17" s="1"/>
  <c r="G165" i="17"/>
  <c r="H142" i="17"/>
  <c r="G142" i="17" s="1"/>
  <c r="H141" i="17"/>
  <c r="F141" i="17" s="1"/>
  <c r="E141" i="17" s="1"/>
  <c r="H140" i="17"/>
  <c r="G140" i="17" s="1"/>
  <c r="H139" i="17"/>
  <c r="G139" i="17" s="1"/>
  <c r="H138" i="17"/>
  <c r="F138" i="17" s="1"/>
  <c r="E138" i="17" s="1"/>
  <c r="H137" i="17"/>
  <c r="G137" i="17" s="1"/>
  <c r="H136" i="17"/>
  <c r="G136" i="17" s="1"/>
  <c r="H135" i="17"/>
  <c r="F135" i="17" s="1"/>
  <c r="E135" i="17" s="1"/>
  <c r="H134" i="17"/>
  <c r="G134" i="17" s="1"/>
  <c r="H133" i="17"/>
  <c r="G133" i="17" s="1"/>
  <c r="H130" i="17"/>
  <c r="G130" i="17" s="1"/>
  <c r="H129" i="17"/>
  <c r="H132" i="17" s="1"/>
  <c r="G132" i="17" s="1"/>
  <c r="G128" i="17"/>
  <c r="H105" i="17"/>
  <c r="G105" i="17" s="1"/>
  <c r="H104" i="17"/>
  <c r="F104" i="17" s="1"/>
  <c r="E104" i="17" s="1"/>
  <c r="H103" i="17"/>
  <c r="G103" i="17" s="1"/>
  <c r="H102" i="17"/>
  <c r="G102" i="17" s="1"/>
  <c r="H101" i="17"/>
  <c r="F101" i="17" s="1"/>
  <c r="E101" i="17" s="1"/>
  <c r="H100" i="17"/>
  <c r="F100" i="17" s="1"/>
  <c r="E100" i="17" s="1"/>
  <c r="H99" i="17"/>
  <c r="F99" i="17" s="1"/>
  <c r="E99" i="17" s="1"/>
  <c r="H98" i="17"/>
  <c r="F98" i="17" s="1"/>
  <c r="E98" i="17" s="1"/>
  <c r="H97" i="17"/>
  <c r="G97" i="17" s="1"/>
  <c r="H96" i="17"/>
  <c r="G96" i="17" s="1"/>
  <c r="H93" i="17"/>
  <c r="F93" i="17" s="1"/>
  <c r="E93" i="17" s="1"/>
  <c r="H92" i="17"/>
  <c r="H95" i="17" s="1"/>
  <c r="G91" i="17"/>
  <c r="H68" i="17"/>
  <c r="G68" i="17" s="1"/>
  <c r="H67" i="17"/>
  <c r="G67" i="17" s="1"/>
  <c r="H66" i="17"/>
  <c r="G66" i="17" s="1"/>
  <c r="H65" i="17"/>
  <c r="G65" i="17" s="1"/>
  <c r="H64" i="17"/>
  <c r="G64" i="17" s="1"/>
  <c r="H63" i="17"/>
  <c r="G63" i="17" s="1"/>
  <c r="H62" i="17"/>
  <c r="F62" i="17" s="1"/>
  <c r="E62" i="17" s="1"/>
  <c r="H61" i="17"/>
  <c r="G61" i="17" s="1"/>
  <c r="H59" i="17"/>
  <c r="F59" i="17" s="1"/>
  <c r="E59" i="17" s="1"/>
  <c r="H56" i="17"/>
  <c r="F56" i="17" s="1"/>
  <c r="E56" i="17" s="1"/>
  <c r="H55" i="17"/>
  <c r="G54" i="17"/>
  <c r="F252" i="17" l="1"/>
  <c r="E252" i="17" s="1"/>
  <c r="G209" i="17"/>
  <c r="F213" i="17"/>
  <c r="E213" i="17" s="1"/>
  <c r="F207" i="17"/>
  <c r="E207" i="17" s="1"/>
  <c r="G212" i="17"/>
  <c r="F204" i="17"/>
  <c r="E204" i="17" s="1"/>
  <c r="G215" i="17"/>
  <c r="F210" i="17"/>
  <c r="E210" i="17" s="1"/>
  <c r="F216" i="17"/>
  <c r="E216" i="17" s="1"/>
  <c r="G246" i="17"/>
  <c r="G247" i="17"/>
  <c r="G278" i="17"/>
  <c r="G281" i="17"/>
  <c r="G284" i="17"/>
  <c r="G352" i="17"/>
  <c r="G363" i="17"/>
  <c r="G356" i="17"/>
  <c r="G358" i="17"/>
  <c r="F133" i="17"/>
  <c r="E133" i="17" s="1"/>
  <c r="F139" i="17"/>
  <c r="E139" i="17" s="1"/>
  <c r="F359" i="17"/>
  <c r="E359" i="17" s="1"/>
  <c r="G364" i="17"/>
  <c r="G355" i="17"/>
  <c r="G360" i="17"/>
  <c r="G361" i="17"/>
  <c r="F362" i="17"/>
  <c r="E362" i="17" s="1"/>
  <c r="H354" i="17"/>
  <c r="H366" i="17" s="1"/>
  <c r="G357" i="17"/>
  <c r="F322" i="17"/>
  <c r="E322" i="17" s="1"/>
  <c r="H335" i="17"/>
  <c r="G335" i="17" s="1"/>
  <c r="G324" i="17"/>
  <c r="F315" i="17"/>
  <c r="E315" i="17" s="1"/>
  <c r="G327" i="17"/>
  <c r="G321" i="17"/>
  <c r="F318" i="17"/>
  <c r="E318" i="17" s="1"/>
  <c r="F319" i="17"/>
  <c r="E319" i="17" s="1"/>
  <c r="F325" i="17"/>
  <c r="E325" i="17" s="1"/>
  <c r="F283" i="17"/>
  <c r="E283" i="17" s="1"/>
  <c r="G290" i="17"/>
  <c r="F289" i="17"/>
  <c r="E289" i="17" s="1"/>
  <c r="H297" i="17"/>
  <c r="G297" i="17" s="1"/>
  <c r="F286" i="17"/>
  <c r="E286" i="17" s="1"/>
  <c r="G287" i="17"/>
  <c r="G240" i="17"/>
  <c r="F240" i="17" s="1"/>
  <c r="E240" i="17" s="1"/>
  <c r="G241" i="17"/>
  <c r="G253" i="17"/>
  <c r="F248" i="17"/>
  <c r="E248" i="17" s="1"/>
  <c r="H243" i="17"/>
  <c r="H262" i="17" s="1"/>
  <c r="F249" i="17"/>
  <c r="E249" i="17" s="1"/>
  <c r="G244" i="17"/>
  <c r="F245" i="17"/>
  <c r="E245" i="17" s="1"/>
  <c r="G250" i="17"/>
  <c r="H206" i="17"/>
  <c r="H217" i="17" s="1"/>
  <c r="G203" i="17"/>
  <c r="F203" i="17" s="1"/>
  <c r="E203" i="17" s="1"/>
  <c r="H205" i="17"/>
  <c r="G205" i="17" s="1"/>
  <c r="F170" i="17"/>
  <c r="E170" i="17" s="1"/>
  <c r="F173" i="17"/>
  <c r="E173" i="17" s="1"/>
  <c r="F167" i="17"/>
  <c r="E167" i="17" s="1"/>
  <c r="F176" i="17"/>
  <c r="E176" i="17" s="1"/>
  <c r="F179" i="17"/>
  <c r="E179" i="17" s="1"/>
  <c r="H186" i="17"/>
  <c r="G186" i="17" s="1"/>
  <c r="F97" i="17"/>
  <c r="E97" i="17" s="1"/>
  <c r="F105" i="17"/>
  <c r="E105" i="17" s="1"/>
  <c r="G99" i="17"/>
  <c r="G100" i="17"/>
  <c r="G93" i="17"/>
  <c r="F96" i="17"/>
  <c r="E96" i="17" s="1"/>
  <c r="G135" i="17"/>
  <c r="G141" i="17"/>
  <c r="F142" i="17"/>
  <c r="E142" i="17" s="1"/>
  <c r="H149" i="17"/>
  <c r="F149" i="17" s="1"/>
  <c r="E149" i="17" s="1"/>
  <c r="F136" i="17"/>
  <c r="E136" i="17" s="1"/>
  <c r="F130" i="17"/>
  <c r="E130" i="17" s="1"/>
  <c r="G129" i="17"/>
  <c r="F129" i="17" s="1"/>
  <c r="E129" i="17" s="1"/>
  <c r="G138" i="17"/>
  <c r="F132" i="17"/>
  <c r="E132" i="17" s="1"/>
  <c r="G101" i="17"/>
  <c r="F102" i="17"/>
  <c r="E102" i="17" s="1"/>
  <c r="H114" i="17"/>
  <c r="F114" i="17" s="1"/>
  <c r="E114" i="17" s="1"/>
  <c r="F103" i="17"/>
  <c r="E103" i="17" s="1"/>
  <c r="G92" i="17"/>
  <c r="G104" i="17"/>
  <c r="G95" i="17"/>
  <c r="F95" i="17" s="1"/>
  <c r="E95" i="17" s="1"/>
  <c r="H57" i="17"/>
  <c r="G57" i="17" s="1"/>
  <c r="F57" i="17" s="1"/>
  <c r="E57" i="17" s="1"/>
  <c r="H58" i="17"/>
  <c r="G58" i="17" s="1"/>
  <c r="L78" i="17"/>
  <c r="M28" i="17"/>
  <c r="L28" i="17" s="1"/>
  <c r="L31" i="17"/>
  <c r="M31" i="17"/>
  <c r="F61" i="17"/>
  <c r="E61" i="17" s="1"/>
  <c r="F64" i="17"/>
  <c r="E64" i="17" s="1"/>
  <c r="F67" i="17"/>
  <c r="E67" i="17" s="1"/>
  <c r="F351" i="17"/>
  <c r="E351" i="17" s="1"/>
  <c r="H353" i="17"/>
  <c r="H316" i="17"/>
  <c r="H328" i="17"/>
  <c r="H331" i="17"/>
  <c r="H334" i="17"/>
  <c r="F317" i="17"/>
  <c r="E317" i="17" s="1"/>
  <c r="F320" i="17"/>
  <c r="E320" i="17" s="1"/>
  <c r="F323" i="17"/>
  <c r="E323" i="17" s="1"/>
  <c r="F326" i="17"/>
  <c r="E326" i="17" s="1"/>
  <c r="H330" i="17"/>
  <c r="H333" i="17"/>
  <c r="H336" i="17"/>
  <c r="G314" i="17"/>
  <c r="F314" i="17" s="1"/>
  <c r="E314" i="17" s="1"/>
  <c r="H329" i="17"/>
  <c r="H332" i="17"/>
  <c r="F280" i="17"/>
  <c r="E280" i="17" s="1"/>
  <c r="H293" i="17"/>
  <c r="H296" i="17"/>
  <c r="H299" i="17"/>
  <c r="G277" i="17"/>
  <c r="F277" i="17" s="1"/>
  <c r="E277" i="17" s="1"/>
  <c r="F282" i="17"/>
  <c r="E282" i="17" s="1"/>
  <c r="F285" i="17"/>
  <c r="E285" i="17" s="1"/>
  <c r="F288" i="17"/>
  <c r="E288" i="17" s="1"/>
  <c r="H292" i="17"/>
  <c r="H295" i="17"/>
  <c r="H298" i="17"/>
  <c r="H279" i="17"/>
  <c r="H291" i="17"/>
  <c r="H294" i="17"/>
  <c r="F251" i="17"/>
  <c r="E251" i="17" s="1"/>
  <c r="H242" i="17"/>
  <c r="F208" i="17"/>
  <c r="E208" i="17" s="1"/>
  <c r="F211" i="17"/>
  <c r="E211" i="17" s="1"/>
  <c r="F214" i="17"/>
  <c r="E214" i="17" s="1"/>
  <c r="F169" i="17"/>
  <c r="E169" i="17" s="1"/>
  <c r="F172" i="17"/>
  <c r="E172" i="17" s="1"/>
  <c r="F175" i="17"/>
  <c r="E175" i="17" s="1"/>
  <c r="F178" i="17"/>
  <c r="E178" i="17" s="1"/>
  <c r="H182" i="17"/>
  <c r="H185" i="17"/>
  <c r="H188" i="17"/>
  <c r="G166" i="17"/>
  <c r="F166" i="17" s="1"/>
  <c r="E166" i="17" s="1"/>
  <c r="F171" i="17"/>
  <c r="E171" i="17" s="1"/>
  <c r="F174" i="17"/>
  <c r="E174" i="17" s="1"/>
  <c r="H181" i="17"/>
  <c r="H184" i="17"/>
  <c r="H187" i="17"/>
  <c r="F177" i="17"/>
  <c r="E177" i="17" s="1"/>
  <c r="H168" i="17"/>
  <c r="H180" i="17"/>
  <c r="H183" i="17"/>
  <c r="H145" i="17"/>
  <c r="H148" i="17"/>
  <c r="H151" i="17"/>
  <c r="F134" i="17"/>
  <c r="E134" i="17" s="1"/>
  <c r="F137" i="17"/>
  <c r="E137" i="17" s="1"/>
  <c r="H144" i="17"/>
  <c r="H147" i="17"/>
  <c r="H150" i="17"/>
  <c r="F140" i="17"/>
  <c r="E140" i="17" s="1"/>
  <c r="H131" i="17"/>
  <c r="H143" i="17"/>
  <c r="H146" i="17"/>
  <c r="G98" i="17"/>
  <c r="H107" i="17"/>
  <c r="H110" i="17"/>
  <c r="H113" i="17"/>
  <c r="H94" i="17"/>
  <c r="H106" i="17"/>
  <c r="H109" i="17"/>
  <c r="H112" i="17"/>
  <c r="F92" i="17"/>
  <c r="E92" i="17" s="1"/>
  <c r="H108" i="17"/>
  <c r="H111" i="17"/>
  <c r="F63" i="17"/>
  <c r="E63" i="17" s="1"/>
  <c r="F66" i="17"/>
  <c r="E66" i="17" s="1"/>
  <c r="H60" i="17"/>
  <c r="F65" i="17"/>
  <c r="E65" i="17" s="1"/>
  <c r="F68" i="17"/>
  <c r="E68" i="17" s="1"/>
  <c r="G56" i="17"/>
  <c r="G59" i="17"/>
  <c r="G62" i="17"/>
  <c r="G55" i="17"/>
  <c r="F55" i="17" s="1"/>
  <c r="E55" i="17" s="1"/>
  <c r="I30" i="16"/>
  <c r="H221" i="17" l="1"/>
  <c r="G221" i="17" s="1"/>
  <c r="H218" i="17"/>
  <c r="G218" i="17" s="1"/>
  <c r="H261" i="17"/>
  <c r="G261" i="17" s="1"/>
  <c r="H255" i="17"/>
  <c r="F255" i="17" s="1"/>
  <c r="E255" i="17" s="1"/>
  <c r="H258" i="17"/>
  <c r="F258" i="17" s="1"/>
  <c r="E258" i="17" s="1"/>
  <c r="H372" i="17"/>
  <c r="F372" i="17" s="1"/>
  <c r="E372" i="17" s="1"/>
  <c r="H373" i="17"/>
  <c r="F373" i="17" s="1"/>
  <c r="E373" i="17" s="1"/>
  <c r="H369" i="17"/>
  <c r="G369" i="17" s="1"/>
  <c r="G149" i="17"/>
  <c r="H72" i="17"/>
  <c r="G72" i="17" s="1"/>
  <c r="H70" i="17"/>
  <c r="F70" i="17" s="1"/>
  <c r="E70" i="17" s="1"/>
  <c r="G354" i="17"/>
  <c r="F354" i="17" s="1"/>
  <c r="E354" i="17" s="1"/>
  <c r="H367" i="17"/>
  <c r="H371" i="17"/>
  <c r="H370" i="17"/>
  <c r="F370" i="17" s="1"/>
  <c r="E370" i="17" s="1"/>
  <c r="H368" i="17"/>
  <c r="G368" i="17" s="1"/>
  <c r="H365" i="17"/>
  <c r="F365" i="17" s="1"/>
  <c r="E365" i="17" s="1"/>
  <c r="F335" i="17"/>
  <c r="E335" i="17" s="1"/>
  <c r="F297" i="17"/>
  <c r="E297" i="17" s="1"/>
  <c r="G243" i="17"/>
  <c r="F243" i="17" s="1"/>
  <c r="E243" i="17" s="1"/>
  <c r="H257" i="17"/>
  <c r="G257" i="17" s="1"/>
  <c r="H259" i="17"/>
  <c r="F259" i="17" s="1"/>
  <c r="E259" i="17" s="1"/>
  <c r="H256" i="17"/>
  <c r="G256" i="17" s="1"/>
  <c r="H254" i="17"/>
  <c r="F254" i="17" s="1"/>
  <c r="E254" i="17" s="1"/>
  <c r="H260" i="17"/>
  <c r="G217" i="17"/>
  <c r="F217" i="17"/>
  <c r="E217" i="17" s="1"/>
  <c r="H223" i="17"/>
  <c r="F205" i="17"/>
  <c r="E205" i="17" s="1"/>
  <c r="H225" i="17"/>
  <c r="F225" i="17" s="1"/>
  <c r="E225" i="17" s="1"/>
  <c r="H222" i="17"/>
  <c r="G222" i="17" s="1"/>
  <c r="G206" i="17"/>
  <c r="F206" i="17" s="1"/>
  <c r="E206" i="17" s="1"/>
  <c r="H224" i="17"/>
  <c r="H219" i="17"/>
  <c r="H220" i="17"/>
  <c r="F186" i="17"/>
  <c r="E186" i="17" s="1"/>
  <c r="G114" i="17"/>
  <c r="H77" i="17"/>
  <c r="G77" i="17" s="1"/>
  <c r="H74" i="17"/>
  <c r="G74" i="17" s="1"/>
  <c r="F58" i="17"/>
  <c r="E58" i="17" s="1"/>
  <c r="H76" i="17"/>
  <c r="G76" i="17" s="1"/>
  <c r="H73" i="17"/>
  <c r="G73" i="17" s="1"/>
  <c r="H75" i="17"/>
  <c r="F75" i="17" s="1"/>
  <c r="E75" i="17" s="1"/>
  <c r="H69" i="17"/>
  <c r="G69" i="17" s="1"/>
  <c r="F69" i="17" s="1"/>
  <c r="E69" i="17" s="1"/>
  <c r="M30" i="17"/>
  <c r="L30" i="17" s="1"/>
  <c r="L33" i="17"/>
  <c r="M33" i="17"/>
  <c r="G353" i="17"/>
  <c r="F353" i="17" s="1"/>
  <c r="E353" i="17" s="1"/>
  <c r="G366" i="17"/>
  <c r="F366" i="17"/>
  <c r="E366" i="17" s="1"/>
  <c r="G334" i="17"/>
  <c r="F334" i="17"/>
  <c r="E334" i="17" s="1"/>
  <c r="G332" i="17"/>
  <c r="F332" i="17"/>
  <c r="E332" i="17" s="1"/>
  <c r="G331" i="17"/>
  <c r="F331" i="17"/>
  <c r="E331" i="17" s="1"/>
  <c r="G329" i="17"/>
  <c r="F329" i="17"/>
  <c r="E329" i="17" s="1"/>
  <c r="G328" i="17"/>
  <c r="F328" i="17"/>
  <c r="E328" i="17" s="1"/>
  <c r="G316" i="17"/>
  <c r="F316" i="17" s="1"/>
  <c r="E316" i="17" s="1"/>
  <c r="G330" i="17"/>
  <c r="F330" i="17" s="1"/>
  <c r="G336" i="17"/>
  <c r="F336" i="17"/>
  <c r="E336" i="17" s="1"/>
  <c r="G333" i="17"/>
  <c r="F333" i="17"/>
  <c r="E333" i="17" s="1"/>
  <c r="G294" i="17"/>
  <c r="F294" i="17"/>
  <c r="E294" i="17" s="1"/>
  <c r="G292" i="17"/>
  <c r="F292" i="17"/>
  <c r="E292" i="17" s="1"/>
  <c r="F296" i="17"/>
  <c r="E296" i="17" s="1"/>
  <c r="G296" i="17"/>
  <c r="G295" i="17"/>
  <c r="F295" i="17"/>
  <c r="E295" i="17" s="1"/>
  <c r="G291" i="17"/>
  <c r="F291" i="17"/>
  <c r="E291" i="17" s="1"/>
  <c r="F299" i="17"/>
  <c r="E299" i="17" s="1"/>
  <c r="G299" i="17"/>
  <c r="G293" i="17"/>
  <c r="F293" i="17" s="1"/>
  <c r="G279" i="17"/>
  <c r="F279" i="17" s="1"/>
  <c r="E279" i="17" s="1"/>
  <c r="G298" i="17"/>
  <c r="F298" i="17"/>
  <c r="E298" i="17" s="1"/>
  <c r="G242" i="17"/>
  <c r="F242" i="17" s="1"/>
  <c r="E242" i="17" s="1"/>
  <c r="F262" i="17"/>
  <c r="E262" i="17" s="1"/>
  <c r="G262" i="17"/>
  <c r="G183" i="17"/>
  <c r="F183" i="17"/>
  <c r="E183" i="17" s="1"/>
  <c r="G180" i="17"/>
  <c r="F180" i="17" s="1"/>
  <c r="E180" i="17" s="1"/>
  <c r="G182" i="17"/>
  <c r="F182" i="17" s="1"/>
  <c r="G184" i="17"/>
  <c r="F184" i="17"/>
  <c r="E184" i="17" s="1"/>
  <c r="F188" i="17"/>
  <c r="E188" i="17" s="1"/>
  <c r="G188" i="17"/>
  <c r="G187" i="17"/>
  <c r="F187" i="17"/>
  <c r="E187" i="17" s="1"/>
  <c r="F185" i="17"/>
  <c r="E185" i="17" s="1"/>
  <c r="G185" i="17"/>
  <c r="G181" i="17"/>
  <c r="F181" i="17"/>
  <c r="E181" i="17" s="1"/>
  <c r="G168" i="17"/>
  <c r="F168" i="17" s="1"/>
  <c r="E168" i="17" s="1"/>
  <c r="F151" i="17"/>
  <c r="E151" i="17" s="1"/>
  <c r="G151" i="17"/>
  <c r="G150" i="17"/>
  <c r="F150" i="17"/>
  <c r="E150" i="17" s="1"/>
  <c r="F148" i="17"/>
  <c r="E148" i="17" s="1"/>
  <c r="G148" i="17"/>
  <c r="G146" i="17"/>
  <c r="F146" i="17"/>
  <c r="E146" i="17" s="1"/>
  <c r="G145" i="17"/>
  <c r="F145" i="17" s="1"/>
  <c r="F144" i="17"/>
  <c r="E144" i="17" s="1"/>
  <c r="G144" i="17"/>
  <c r="G147" i="17"/>
  <c r="F147" i="17"/>
  <c r="E147" i="17" s="1"/>
  <c r="G143" i="17"/>
  <c r="F143" i="17" s="1"/>
  <c r="E143" i="17" s="1"/>
  <c r="G131" i="17"/>
  <c r="F131" i="17" s="1"/>
  <c r="E131" i="17" s="1"/>
  <c r="F112" i="17"/>
  <c r="E112" i="17" s="1"/>
  <c r="G112" i="17"/>
  <c r="G109" i="17"/>
  <c r="F109" i="17"/>
  <c r="E109" i="17" s="1"/>
  <c r="G106" i="17"/>
  <c r="F106" i="17" s="1"/>
  <c r="E106" i="17" s="1"/>
  <c r="G111" i="17"/>
  <c r="F111" i="17"/>
  <c r="E111" i="17" s="1"/>
  <c r="G94" i="17"/>
  <c r="F94" i="17" s="1"/>
  <c r="E94" i="17" s="1"/>
  <c r="G108" i="17"/>
  <c r="F108" i="17"/>
  <c r="F113" i="17"/>
  <c r="E113" i="17" s="1"/>
  <c r="G113" i="17"/>
  <c r="F110" i="17"/>
  <c r="E110" i="17" s="1"/>
  <c r="G110" i="17"/>
  <c r="F107" i="17"/>
  <c r="E107" i="17" s="1"/>
  <c r="G107" i="17"/>
  <c r="H71" i="17"/>
  <c r="G60" i="17"/>
  <c r="F60" i="17" s="1"/>
  <c r="E60" i="17" s="1"/>
  <c r="K41" i="16"/>
  <c r="G372" i="17" l="1"/>
  <c r="F256" i="17"/>
  <c r="E256" i="17" s="1"/>
  <c r="F221" i="17"/>
  <c r="E221" i="17" s="1"/>
  <c r="G373" i="17"/>
  <c r="F369" i="17"/>
  <c r="E369" i="17" s="1"/>
  <c r="G255" i="17"/>
  <c r="F257" i="17"/>
  <c r="E257" i="17" s="1"/>
  <c r="F218" i="17"/>
  <c r="E218" i="17" s="1"/>
  <c r="F261" i="17"/>
  <c r="E261" i="17" s="1"/>
  <c r="G259" i="17"/>
  <c r="G258" i="17"/>
  <c r="G367" i="17"/>
  <c r="F367" i="17" s="1"/>
  <c r="G365" i="17"/>
  <c r="F77" i="17"/>
  <c r="E77" i="17" s="1"/>
  <c r="F72" i="17"/>
  <c r="E72" i="17" s="1"/>
  <c r="G70" i="17"/>
  <c r="F368" i="17"/>
  <c r="E368" i="17" s="1"/>
  <c r="G371" i="17"/>
  <c r="F371" i="17"/>
  <c r="E371" i="17" s="1"/>
  <c r="G370" i="17"/>
  <c r="E330" i="17"/>
  <c r="H337" i="17"/>
  <c r="E293" i="17"/>
  <c r="H300" i="17"/>
  <c r="G260" i="17"/>
  <c r="F260" i="17"/>
  <c r="E260" i="17" s="1"/>
  <c r="G254" i="17"/>
  <c r="G224" i="17"/>
  <c r="F224" i="17"/>
  <c r="E224" i="17" s="1"/>
  <c r="G220" i="17"/>
  <c r="F220" i="17"/>
  <c r="E220" i="17" s="1"/>
  <c r="G223" i="17"/>
  <c r="F223" i="17"/>
  <c r="E223" i="17" s="1"/>
  <c r="F222" i="17"/>
  <c r="E222" i="17" s="1"/>
  <c r="G219" i="17"/>
  <c r="F219" i="17" s="1"/>
  <c r="G225" i="17"/>
  <c r="E182" i="17"/>
  <c r="H189" i="17"/>
  <c r="E145" i="17"/>
  <c r="H152" i="17"/>
  <c r="E108" i="17"/>
  <c r="H115" i="17"/>
  <c r="F74" i="17"/>
  <c r="E74" i="17" s="1"/>
  <c r="F73" i="17"/>
  <c r="E73" i="17" s="1"/>
  <c r="G75" i="17"/>
  <c r="F76" i="17"/>
  <c r="E76" i="17" s="1"/>
  <c r="M32" i="17"/>
  <c r="L32" i="17" s="1"/>
  <c r="L35" i="17"/>
  <c r="M35" i="17"/>
  <c r="G71" i="17"/>
  <c r="F71" i="17" s="1"/>
  <c r="H26" i="7"/>
  <c r="I26" i="7" s="1"/>
  <c r="H24" i="7"/>
  <c r="I24" i="7" s="1"/>
  <c r="H23" i="7"/>
  <c r="I23" i="7" s="1"/>
  <c r="H22" i="7"/>
  <c r="I22" i="7" s="1"/>
  <c r="H21" i="7"/>
  <c r="I21" i="7" s="1"/>
  <c r="G17" i="7"/>
  <c r="F17" i="7" s="1"/>
  <c r="F18" i="7" s="1"/>
  <c r="H31" i="17"/>
  <c r="F31" i="17" s="1"/>
  <c r="H30" i="17"/>
  <c r="G30" i="17" s="1"/>
  <c r="H29" i="17"/>
  <c r="F29" i="17" s="1"/>
  <c r="H28" i="17"/>
  <c r="F28" i="17" s="1"/>
  <c r="H27" i="17"/>
  <c r="F27" i="17" s="1"/>
  <c r="H26" i="17"/>
  <c r="G26" i="17" s="1"/>
  <c r="H25" i="17"/>
  <c r="G25" i="17" s="1"/>
  <c r="H24" i="17"/>
  <c r="G24" i="17" s="1"/>
  <c r="H19" i="17"/>
  <c r="H18" i="17"/>
  <c r="H21" i="17" s="1"/>
  <c r="G17" i="17"/>
  <c r="H263" i="17" l="1"/>
  <c r="G263" i="17" s="1"/>
  <c r="F263" i="17" s="1"/>
  <c r="E263" i="17" s="1"/>
  <c r="E367" i="17"/>
  <c r="H374" i="17"/>
  <c r="G374" i="17" s="1"/>
  <c r="F374" i="17" s="1"/>
  <c r="E374" i="17" s="1"/>
  <c r="G337" i="17"/>
  <c r="F337" i="17" s="1"/>
  <c r="E337" i="17" s="1"/>
  <c r="G300" i="17"/>
  <c r="F300" i="17" s="1"/>
  <c r="E300" i="17" s="1"/>
  <c r="E219" i="17"/>
  <c r="H226" i="17"/>
  <c r="G189" i="17"/>
  <c r="F189" i="17" s="1"/>
  <c r="E189" i="17" s="1"/>
  <c r="G152" i="17"/>
  <c r="F152" i="17" s="1"/>
  <c r="E152" i="17" s="1"/>
  <c r="G115" i="17"/>
  <c r="F115" i="17" s="1"/>
  <c r="E115" i="17" s="1"/>
  <c r="M34" i="17"/>
  <c r="L34" i="17" s="1"/>
  <c r="N41" i="17" s="1"/>
  <c r="L37" i="17"/>
  <c r="M37" i="17"/>
  <c r="H22" i="17"/>
  <c r="G22" i="17" s="1"/>
  <c r="H78" i="17"/>
  <c r="E71" i="17"/>
  <c r="G18" i="7"/>
  <c r="H18" i="7" s="1"/>
  <c r="I18" i="7" s="1"/>
  <c r="R25" i="7"/>
  <c r="S25" i="7" s="1"/>
  <c r="T25" i="7" s="1"/>
  <c r="R28" i="7"/>
  <c r="S28" i="7" s="1"/>
  <c r="T28" i="7" s="1"/>
  <c r="R31" i="7"/>
  <c r="S31" i="7" s="1"/>
  <c r="T31" i="7" s="1"/>
  <c r="R32" i="7"/>
  <c r="S32" i="7" s="1"/>
  <c r="T32" i="7" s="1"/>
  <c r="R26" i="7"/>
  <c r="S26" i="7" s="1"/>
  <c r="T26" i="7" s="1"/>
  <c r="H39" i="17"/>
  <c r="G39" i="17" s="1"/>
  <c r="H35" i="17"/>
  <c r="H23" i="17"/>
  <c r="G23" i="17" s="1"/>
  <c r="G28" i="17"/>
  <c r="G29" i="17"/>
  <c r="G31" i="17"/>
  <c r="G27" i="17"/>
  <c r="H20" i="17"/>
  <c r="G18" i="17"/>
  <c r="F18" i="17" s="1"/>
  <c r="E29" i="17"/>
  <c r="E31" i="17"/>
  <c r="F24" i="17"/>
  <c r="E28" i="17"/>
  <c r="F30" i="17"/>
  <c r="E27" i="17"/>
  <c r="R23" i="7"/>
  <c r="S23" i="7" s="1"/>
  <c r="T23" i="7" s="1"/>
  <c r="H17" i="7"/>
  <c r="I17" i="7" s="1"/>
  <c r="G19" i="7"/>
  <c r="G21" i="7"/>
  <c r="F21" i="7" s="1"/>
  <c r="G20" i="7"/>
  <c r="H40" i="17"/>
  <c r="F26" i="17"/>
  <c r="F25" i="17"/>
  <c r="G19" i="17"/>
  <c r="F19" i="17" s="1"/>
  <c r="G21" i="17"/>
  <c r="F21" i="17" s="1"/>
  <c r="H32" i="17"/>
  <c r="H36" i="17"/>
  <c r="H37" i="17"/>
  <c r="H38" i="17"/>
  <c r="H33" i="17"/>
  <c r="G226" i="17" l="1"/>
  <c r="F226" i="17" s="1"/>
  <c r="E226" i="17" s="1"/>
  <c r="M36" i="17"/>
  <c r="L36" i="17"/>
  <c r="R36" i="7" s="1"/>
  <c r="S36" i="7" s="1"/>
  <c r="T36" i="7" s="1"/>
  <c r="M41" i="17"/>
  <c r="L41" i="17" s="1"/>
  <c r="L39" i="17"/>
  <c r="R39" i="7" s="1"/>
  <c r="S39" i="7" s="1"/>
  <c r="T39" i="7" s="1"/>
  <c r="M39" i="17"/>
  <c r="F22" i="17"/>
  <c r="E22" i="17" s="1"/>
  <c r="H34" i="17"/>
  <c r="G34" i="17" s="1"/>
  <c r="F34" i="17" s="1"/>
  <c r="R34" i="7"/>
  <c r="S34" i="7" s="1"/>
  <c r="T34" i="7" s="1"/>
  <c r="G78" i="17"/>
  <c r="F78" i="17" s="1"/>
  <c r="E78" i="17" s="1"/>
  <c r="L31" i="7"/>
  <c r="M31" i="7" s="1"/>
  <c r="N31" i="7" s="1"/>
  <c r="R18" i="7"/>
  <c r="S18" i="7" s="1"/>
  <c r="R37" i="7"/>
  <c r="S37" i="7" s="1"/>
  <c r="T37" i="7" s="1"/>
  <c r="L27" i="7"/>
  <c r="M27" i="7" s="1"/>
  <c r="N27" i="7" s="1"/>
  <c r="L29" i="7"/>
  <c r="M29" i="7" s="1"/>
  <c r="N29" i="7" s="1"/>
  <c r="R19" i="7"/>
  <c r="S19" i="7" s="1"/>
  <c r="R27" i="7"/>
  <c r="S27" i="7" s="1"/>
  <c r="T27" i="7" s="1"/>
  <c r="R35" i="7"/>
  <c r="S35" i="7" s="1"/>
  <c r="T35" i="7" s="1"/>
  <c r="R22" i="7"/>
  <c r="S22" i="7" s="1"/>
  <c r="R30" i="7"/>
  <c r="S30" i="7" s="1"/>
  <c r="T30" i="7" s="1"/>
  <c r="R21" i="7"/>
  <c r="S21" i="7" s="1"/>
  <c r="R33" i="7"/>
  <c r="S33" i="7" s="1"/>
  <c r="T33" i="7" s="1"/>
  <c r="R24" i="7"/>
  <c r="S24" i="7" s="1"/>
  <c r="R29" i="7"/>
  <c r="S29" i="7" s="1"/>
  <c r="T29" i="7" s="1"/>
  <c r="F39" i="17"/>
  <c r="E39" i="17" s="1"/>
  <c r="L18" i="7"/>
  <c r="M18" i="7" s="1"/>
  <c r="E18" i="17"/>
  <c r="G20" i="17"/>
  <c r="F20" i="17" s="1"/>
  <c r="F23" i="17"/>
  <c r="E23" i="17" s="1"/>
  <c r="L28" i="7"/>
  <c r="M28" i="7" s="1"/>
  <c r="N28" i="7" s="1"/>
  <c r="E21" i="17"/>
  <c r="E25" i="17"/>
  <c r="L25" i="7"/>
  <c r="M25" i="7" s="1"/>
  <c r="N25" i="7" s="1"/>
  <c r="E26" i="17"/>
  <c r="L26" i="7"/>
  <c r="M26" i="7" s="1"/>
  <c r="N26" i="7" s="1"/>
  <c r="E19" i="17"/>
  <c r="L19" i="7"/>
  <c r="M19" i="7" s="1"/>
  <c r="L24" i="7"/>
  <c r="M24" i="7" s="1"/>
  <c r="N24" i="7" s="1"/>
  <c r="E24" i="17"/>
  <c r="E30" i="17"/>
  <c r="L30" i="7"/>
  <c r="M30" i="7" s="1"/>
  <c r="N30" i="7" s="1"/>
  <c r="G22" i="7"/>
  <c r="F22" i="7" s="1"/>
  <c r="H19" i="7"/>
  <c r="I19" i="7" s="1"/>
  <c r="F19" i="7"/>
  <c r="G23" i="7"/>
  <c r="F20" i="7"/>
  <c r="H20" i="7"/>
  <c r="I20" i="7" s="1"/>
  <c r="G38" i="17"/>
  <c r="F38" i="17"/>
  <c r="G40" i="17"/>
  <c r="F40" i="17"/>
  <c r="F37" i="17"/>
  <c r="G37" i="17"/>
  <c r="G35" i="17"/>
  <c r="F35" i="17"/>
  <c r="G33" i="17"/>
  <c r="F33" i="17"/>
  <c r="G36" i="17"/>
  <c r="F36" i="17"/>
  <c r="G32" i="17"/>
  <c r="F32" i="17" s="1"/>
  <c r="T21" i="7" l="1"/>
  <c r="M38" i="17"/>
  <c r="L38" i="17"/>
  <c r="R38" i="7" s="1"/>
  <c r="S38" i="7" s="1"/>
  <c r="T38" i="7" s="1"/>
  <c r="L22" i="7"/>
  <c r="M22" i="7" s="1"/>
  <c r="N22" i="7" s="1"/>
  <c r="H41" i="17"/>
  <c r="G41" i="17" s="1"/>
  <c r="F41" i="17" s="1"/>
  <c r="T22" i="7"/>
  <c r="L21" i="7"/>
  <c r="M21" i="7" s="1"/>
  <c r="D46" i="16" s="1"/>
  <c r="D41" i="16"/>
  <c r="T18" i="7"/>
  <c r="C41" i="16" s="1"/>
  <c r="S20" i="7"/>
  <c r="T20" i="7" s="1"/>
  <c r="T19" i="7"/>
  <c r="C44" i="16" s="1"/>
  <c r="D44" i="16"/>
  <c r="D43" i="16"/>
  <c r="N18" i="7"/>
  <c r="C42" i="16" s="1"/>
  <c r="D42" i="16"/>
  <c r="E20" i="17"/>
  <c r="L20" i="7"/>
  <c r="L23" i="7"/>
  <c r="M23" i="7" s="1"/>
  <c r="N23" i="7" s="1"/>
  <c r="L39" i="7"/>
  <c r="M39" i="7" s="1"/>
  <c r="N39" i="7" s="1"/>
  <c r="E32" i="17"/>
  <c r="L32" i="7"/>
  <c r="M32" i="7" s="1"/>
  <c r="E40" i="17"/>
  <c r="L40" i="7"/>
  <c r="M40" i="7" s="1"/>
  <c r="N40" i="7" s="1"/>
  <c r="E38" i="17"/>
  <c r="L38" i="7"/>
  <c r="M38" i="7" s="1"/>
  <c r="N38" i="7" s="1"/>
  <c r="N19" i="7"/>
  <c r="C43" i="16"/>
  <c r="E36" i="17"/>
  <c r="L36" i="7"/>
  <c r="M36" i="7" s="1"/>
  <c r="N36" i="7" s="1"/>
  <c r="E34" i="17"/>
  <c r="E37" i="17"/>
  <c r="L37" i="7"/>
  <c r="M37" i="7" s="1"/>
  <c r="N37" i="7" s="1"/>
  <c r="E33" i="17"/>
  <c r="L33" i="7"/>
  <c r="M33" i="7" s="1"/>
  <c r="N33" i="7" s="1"/>
  <c r="E35" i="17"/>
  <c r="L35" i="7"/>
  <c r="M35" i="7" s="1"/>
  <c r="N35" i="7" s="1"/>
  <c r="G24" i="7"/>
  <c r="F24" i="7" s="1"/>
  <c r="G25" i="7"/>
  <c r="F23" i="7"/>
  <c r="K54" i="16"/>
  <c r="K55" i="16"/>
  <c r="K56" i="16"/>
  <c r="K53" i="16"/>
  <c r="C47" i="16" l="1"/>
  <c r="D47" i="16"/>
  <c r="N32" i="7"/>
  <c r="N21" i="7"/>
  <c r="C46" i="16" s="1"/>
  <c r="L34" i="7"/>
  <c r="M34" i="7" s="1"/>
  <c r="N34" i="7" s="1"/>
  <c r="M20" i="7"/>
  <c r="D45" i="16"/>
  <c r="R41" i="7"/>
  <c r="S41" i="7" s="1"/>
  <c r="T41" i="7" s="1"/>
  <c r="E41" i="17"/>
  <c r="F25" i="7"/>
  <c r="H25" i="7"/>
  <c r="I25" i="7" s="1"/>
  <c r="K57" i="16"/>
  <c r="K43" i="16"/>
  <c r="I31" i="16"/>
  <c r="K31" i="16" s="1"/>
  <c r="I32" i="16"/>
  <c r="K32" i="16" s="1"/>
  <c r="I33" i="16"/>
  <c r="K33" i="16" s="1"/>
  <c r="I34" i="16"/>
  <c r="K34" i="16" s="1"/>
  <c r="I35" i="16"/>
  <c r="K35" i="16" s="1"/>
  <c r="I36" i="16"/>
  <c r="K36" i="16" s="1"/>
  <c r="I37" i="16"/>
  <c r="K37" i="16" s="1"/>
  <c r="I38" i="16"/>
  <c r="K38" i="16" s="1"/>
  <c r="K30" i="16"/>
  <c r="M40" i="17" l="1"/>
  <c r="L40" i="17"/>
  <c r="R40" i="7" s="1"/>
  <c r="S40" i="7" s="1"/>
  <c r="T40" i="7" s="1"/>
  <c r="K39" i="16"/>
  <c r="L41" i="7"/>
  <c r="M41" i="7" s="1"/>
  <c r="N41" i="7" s="1"/>
  <c r="C49" i="16" s="1"/>
  <c r="N20" i="7"/>
  <c r="K23" i="16"/>
  <c r="K24" i="16"/>
  <c r="K25" i="16"/>
  <c r="K26" i="16"/>
  <c r="I14" i="16"/>
  <c r="K14" i="16" s="1"/>
  <c r="I15" i="16"/>
  <c r="K15" i="16" s="1"/>
  <c r="I16" i="16"/>
  <c r="K16" i="16" s="1"/>
  <c r="I17" i="16"/>
  <c r="K17" i="16" s="1"/>
  <c r="I18" i="16"/>
  <c r="K18" i="16" s="1"/>
  <c r="I19" i="16"/>
  <c r="K19" i="16" s="1"/>
  <c r="I13" i="16"/>
  <c r="C48" i="16" l="1"/>
  <c r="D48" i="16"/>
  <c r="I20" i="16"/>
  <c r="C45" i="16"/>
  <c r="D49" i="16"/>
  <c r="K13" i="16"/>
  <c r="K20" i="16" s="1"/>
  <c r="J20" i="16"/>
  <c r="K22" i="16" s="1"/>
  <c r="K27" i="16" s="1"/>
  <c r="D8" i="16" l="1"/>
  <c r="H2" i="15" l="1"/>
  <c r="E11" i="15"/>
  <c r="I28" i="15"/>
  <c r="I29" i="15"/>
  <c r="I30" i="15" s="1"/>
  <c r="I33" i="15"/>
  <c r="I34" i="15"/>
  <c r="K42" i="16" l="1"/>
  <c r="H33" i="4" l="1"/>
  <c r="H32" i="4"/>
  <c r="H28" i="4"/>
  <c r="H29" i="4" s="1"/>
  <c r="H27" i="4"/>
  <c r="D12" i="4"/>
  <c r="G2" i="4"/>
  <c r="K49" i="16" l="1"/>
  <c r="K45" i="16" l="1"/>
  <c r="K48" i="16" l="1"/>
  <c r="K46" i="16" l="1"/>
  <c r="K51" i="16" l="1"/>
  <c r="K58" i="16" s="1"/>
</calcChain>
</file>

<file path=xl/sharedStrings.xml><?xml version="1.0" encoding="utf-8"?>
<sst xmlns="http://schemas.openxmlformats.org/spreadsheetml/2006/main" count="1188" uniqueCount="275">
  <si>
    <t>Configuration</t>
  </si>
  <si>
    <t>Nombre de rangées</t>
  </si>
  <si>
    <t>Nombre de colonnes</t>
  </si>
  <si>
    <t>Longueur du module (m)</t>
  </si>
  <si>
    <t>Largeur du module (m)</t>
  </si>
  <si>
    <t>Epaisseur du module (mm)</t>
  </si>
  <si>
    <t>Client</t>
  </si>
  <si>
    <t>Projet</t>
  </si>
  <si>
    <t>m</t>
  </si>
  <si>
    <t>mm</t>
  </si>
  <si>
    <t>Espace bord module - axe première bride</t>
  </si>
  <si>
    <t>Espace axe bride - axe bride suivante</t>
  </si>
  <si>
    <t>Rampant</t>
  </si>
  <si>
    <t>Espace entre module(mm)</t>
  </si>
  <si>
    <t>Rail + bride centrale</t>
  </si>
  <si>
    <t>PAYSAGE</t>
  </si>
  <si>
    <t>Espace bord du module - Marque de pose du 1er rail</t>
  </si>
  <si>
    <t>Espace entre les marques de pose du même module</t>
  </si>
  <si>
    <t>Espace entre les marques de pose du rail sur 2 modules</t>
  </si>
  <si>
    <t>Longueur*</t>
  </si>
  <si>
    <t>* Dans le sens de la longueur, vous devez choisir l'onde la plus proche de la marque de traçage.</t>
  </si>
  <si>
    <t>* Toujours utiliser les marques de traçages pour les cotations. Cela évitera que vos rails se décalent par rapport aux emplacements réels des modules PV.</t>
  </si>
  <si>
    <t>Rail +  bride latérale</t>
  </si>
  <si>
    <t>Référence</t>
  </si>
  <si>
    <t>Bride Jorisolar alu : 13mm</t>
  </si>
  <si>
    <t>QTE</t>
  </si>
  <si>
    <t>NB MODULES</t>
  </si>
  <si>
    <t>RANGEES</t>
  </si>
  <si>
    <t>COLONNES</t>
  </si>
  <si>
    <t>Epaisseur module</t>
  </si>
  <si>
    <t>MISE A LA TERRE</t>
  </si>
  <si>
    <t>% PIECES SUPPLEMENTAIRE</t>
  </si>
  <si>
    <t>PRE MONTAGE BRIDES</t>
  </si>
  <si>
    <t>OUI</t>
  </si>
  <si>
    <t>Produit Intégration</t>
  </si>
  <si>
    <t>Condit</t>
  </si>
  <si>
    <t>Code Article</t>
  </si>
  <si>
    <t>Designation</t>
  </si>
  <si>
    <t>Rail Opti'Roof</t>
  </si>
  <si>
    <t>Vis FixSupport 6,3x22</t>
  </si>
  <si>
    <t>Kit Bride Centrale 30-31 Jorisolar</t>
  </si>
  <si>
    <t>Kit Bride Centrale 32-36 Jorisolar</t>
  </si>
  <si>
    <t>Kit Bride Centrale 37-41 Jorisolar</t>
  </si>
  <si>
    <t>Kit Bride Centrale 42-46 Jorisolar</t>
  </si>
  <si>
    <t>Kit Bride Centrale 47-50 Jorisolar</t>
  </si>
  <si>
    <t>Kit Bride Latérale 30-31 Jorisolar</t>
  </si>
  <si>
    <t>Kit Bride Latérale 32-33 Jorisolar</t>
  </si>
  <si>
    <t>Kit Bride Latérale 34-35 Jorisolar</t>
  </si>
  <si>
    <t>Kit Bride Latérale 36-37 Jorisolar</t>
  </si>
  <si>
    <t>Kit Bride Latérale 38-39 Jorisolar</t>
  </si>
  <si>
    <t>Kit Bride Latérale 40-41 Jorisolar</t>
  </si>
  <si>
    <t>Kit Bride Latérale 42-44 Jorisolar</t>
  </si>
  <si>
    <t>Kit Bride Latérale 45-49 Jorisolar</t>
  </si>
  <si>
    <t>Kit Bride Latérale 50 Jorisolar</t>
  </si>
  <si>
    <t>Pré Montage Brides</t>
  </si>
  <si>
    <t>code SAP</t>
  </si>
  <si>
    <t>Nom</t>
  </si>
  <si>
    <t>Rail Jorisolar Opti'Roof 100mm</t>
  </si>
  <si>
    <t>Vis fixation support Jorisolar 6,3x22</t>
  </si>
  <si>
    <t>Ecrou coulissant Jorisolar</t>
  </si>
  <si>
    <t>Bride centrale Jorisolar</t>
  </si>
  <si>
    <t>Bride centrale Jorisolar MAT01 (terre inter-module)</t>
  </si>
  <si>
    <t>Bride centrale Jorisolar BLACK</t>
  </si>
  <si>
    <t>Vis centrale Jorisolar 8x45 tête fraisée (30-31)</t>
  </si>
  <si>
    <t>Vis centrale Jorisolar 8x50 tête fraisée (32-36)</t>
  </si>
  <si>
    <t>NON</t>
  </si>
  <si>
    <t>Vis centrale Jorisolar 8x55 tête fraisée (37-41)</t>
  </si>
  <si>
    <t>Vis centrale Jorisolar 8x60 tête fraisée (42-46)</t>
  </si>
  <si>
    <t>Vis centrale Jorisolar 8x65 tête fraisée (47-50)</t>
  </si>
  <si>
    <t>Vis centrale Jorisolar 8x70 tête fraisée (50 paysage)</t>
  </si>
  <si>
    <t>Vis Jorisolar 8x35 tête ronde (30-34)</t>
  </si>
  <si>
    <t>Vis Jorisolar 8x40 tête ronde (35-39)</t>
  </si>
  <si>
    <t>Ecrou coulissant</t>
  </si>
  <si>
    <t>Vis Jorisolar 8x45 tête ronde (40-44)</t>
  </si>
  <si>
    <t>Clamp Central</t>
  </si>
  <si>
    <t>Vis Jorisolar 8x50 tête ronde (45-49)</t>
  </si>
  <si>
    <t>Vis centrale</t>
  </si>
  <si>
    <t>Vis Jorisolar 8x55 tête ronde (50)</t>
  </si>
  <si>
    <t>Clamp Latéral</t>
  </si>
  <si>
    <t>Bride latérale Jorisolar 30-31</t>
  </si>
  <si>
    <t>Vis latérale</t>
  </si>
  <si>
    <t>Bride latérale Jorisolar 30-31 BLACK</t>
  </si>
  <si>
    <t>Rondelle frein</t>
  </si>
  <si>
    <t>Bride latérale Jorisolar 32-33</t>
  </si>
  <si>
    <t>Bride latérale Jorisolar 32-33 BLACK</t>
  </si>
  <si>
    <t>Bride latérale Jorisolar 34-35</t>
  </si>
  <si>
    <t>Bride latérale Jorisolar 34-35 BLACK</t>
  </si>
  <si>
    <t>Bride latérale Jorisolar 36-37</t>
  </si>
  <si>
    <t>Bride latérale Jorisolar 38-39</t>
  </si>
  <si>
    <t>Bride latérale Jorisolar 40-41 BLACK</t>
  </si>
  <si>
    <t>Bride latérale Jorisolar 40-41</t>
  </si>
  <si>
    <t>Bride latérale Jorisolar 42-44 BLACK</t>
  </si>
  <si>
    <t>Bride latérale Jorisolar 42-44</t>
  </si>
  <si>
    <t>Bride latérale Jorisolar 45-49</t>
  </si>
  <si>
    <t>Bride latérale Jorisolar 45-49 BLACK</t>
  </si>
  <si>
    <t>Bride latérale Jorisolar 50</t>
  </si>
  <si>
    <t xml:space="preserve">Vis Jorisolar 8x20 tête ronde pour bride latérale </t>
  </si>
  <si>
    <t>Vis Jorisolar 8x25 tête ronde pour bride latérale</t>
  </si>
  <si>
    <t>Vis Jorisolar 8x30 pour bride latérale</t>
  </si>
  <si>
    <t>Vis Jorisolar 8x35 pour bride latérale</t>
  </si>
  <si>
    <t xml:space="preserve">Rondelle frein Jorisolar </t>
  </si>
  <si>
    <t>Bride centrale Jorisolar laminé 6,8mm</t>
  </si>
  <si>
    <t>Bride latérale Jorisolar laminé 6,8mm</t>
  </si>
  <si>
    <t>Vis Jorisolar 8x16 pour laminé 6,8mm</t>
  </si>
  <si>
    <t>Pré-montage brides Jorisolar</t>
  </si>
  <si>
    <t>Clip de mise à la terre Rayvolt</t>
  </si>
  <si>
    <t>Plaque supplémentaire pour pose en paysage</t>
  </si>
  <si>
    <t>DIMENSIONS DES VIS POUR BRIDES CENTRALES</t>
  </si>
  <si>
    <t>M8X45</t>
  </si>
  <si>
    <t>27-31</t>
  </si>
  <si>
    <t>M8x50</t>
  </si>
  <si>
    <t>32-36</t>
  </si>
  <si>
    <t>M8x55</t>
  </si>
  <si>
    <t>37-41</t>
  </si>
  <si>
    <t>M8x60</t>
  </si>
  <si>
    <t>42-46</t>
  </si>
  <si>
    <t>M8x65</t>
  </si>
  <si>
    <t>47-51</t>
  </si>
  <si>
    <t>M8x70</t>
  </si>
  <si>
    <t>DIMENSIONS DES VIS POUR BRIDES LATERALES</t>
  </si>
  <si>
    <t>M8X20</t>
  </si>
  <si>
    <t>30-31</t>
  </si>
  <si>
    <t>M8x25</t>
  </si>
  <si>
    <t>32-49</t>
  </si>
  <si>
    <t>M8x35</t>
  </si>
  <si>
    <t>PROJET :</t>
  </si>
  <si>
    <t>Désignation</t>
  </si>
  <si>
    <t>Quantité</t>
  </si>
  <si>
    <t>PORTRAIT</t>
  </si>
  <si>
    <t>Rail + bride latérale</t>
  </si>
  <si>
    <t>Longueur</t>
  </si>
  <si>
    <t>Espace entre rail sur 2 modules</t>
  </si>
  <si>
    <t>Espace entre rail du même module</t>
  </si>
  <si>
    <t>Espace bas de champ - 1er rail</t>
  </si>
  <si>
    <t>Rail RS-R</t>
  </si>
  <si>
    <t>% DE PIECES SUPPLEMENTAIRES</t>
  </si>
  <si>
    <t>EPAISSEUR MODULE</t>
  </si>
  <si>
    <t>OPTI'ROOF</t>
  </si>
  <si>
    <t>RS-R</t>
  </si>
  <si>
    <t>OPTI'ROOF - PAYSAGE</t>
  </si>
  <si>
    <t>RS-R - PORTRAIT</t>
  </si>
  <si>
    <t>Calepinage</t>
  </si>
  <si>
    <t>Système d'Intégration OPTI'ROOF</t>
  </si>
  <si>
    <t>Nombre de module</t>
  </si>
  <si>
    <t>Puissance module</t>
  </si>
  <si>
    <t>Epaisseur module (mm)</t>
  </si>
  <si>
    <t>% PIECES SUPPLEMENTAIRES</t>
  </si>
  <si>
    <t>Rail Jorisolar RS-R 385mm</t>
  </si>
  <si>
    <t>Rail Jorisolar RS-R 385mm BLACK</t>
  </si>
  <si>
    <t>PML 45-333-1000</t>
  </si>
  <si>
    <t>PML 40-250-1000</t>
  </si>
  <si>
    <t>Démoussage</t>
  </si>
  <si>
    <t xml:space="preserve">Epaisseur : </t>
  </si>
  <si>
    <t>Date de livraison:</t>
  </si>
  <si>
    <t>63/100</t>
  </si>
  <si>
    <t>75/100</t>
  </si>
  <si>
    <t>Vis P1 Bois - 6,3x100</t>
  </si>
  <si>
    <t>Vis P5 Acier - 6,3x75</t>
  </si>
  <si>
    <t>Vis P13 IPN - 5,5x80</t>
  </si>
  <si>
    <t>SYSTÈME D'INTEGRATION</t>
  </si>
  <si>
    <t>Vis P1 Bois - 6,3x100 + cavalier 3 en 1</t>
  </si>
  <si>
    <t>Vis P5 Acier - 6,3x75 + cavalier 3 en 1</t>
  </si>
  <si>
    <t>Vis P13 IPN - 5,5x80 + cavalier 3 en 1</t>
  </si>
  <si>
    <t>BAC ACIER</t>
  </si>
  <si>
    <t>Embout de demi faîtière ventilé</t>
  </si>
  <si>
    <t>Etanchéïté supérieur Jorisolar RS-L DEV405 1,125ml</t>
  </si>
  <si>
    <t>Demi faîtage cranté DEV400</t>
  </si>
  <si>
    <t>Demi faîtage ventilé cranté DEV600</t>
  </si>
  <si>
    <t>Faîtage double cranté DEV600</t>
  </si>
  <si>
    <t>Faîtière contre mur cranté DEV400</t>
  </si>
  <si>
    <t>Bandeau de faîtage cranté DEV600</t>
  </si>
  <si>
    <t>Cloisoir cache mousse</t>
  </si>
  <si>
    <t>Sous faîtière DEV407</t>
  </si>
  <si>
    <t>Bande de rive à rejet DEV407</t>
  </si>
  <si>
    <t>ACCESSOIRES DE PLIAGES - Attention les accessoires crantés sont toujours en longueur 2,1ml</t>
  </si>
  <si>
    <t>Pontet plaqtique H44</t>
  </si>
  <si>
    <t>Rondelle vulca alu 16x6,5x2</t>
  </si>
  <si>
    <t>Joint panneau PU mousse 40x5 (carton 240ml)</t>
  </si>
  <si>
    <t>Cavalier d'onde Jorisolar équipé rondelle</t>
  </si>
  <si>
    <t>Rondelle à bossage Jorisolar équipé rondelle</t>
  </si>
  <si>
    <t>Vis de couturage Jorisolar 6,3x22 laqué</t>
  </si>
  <si>
    <t>Puissance totale installée en kWC</t>
  </si>
  <si>
    <t>Ral du bac acier :</t>
  </si>
  <si>
    <t>RECAPITULATIF COMMANDE/DEVIS JORISIDE ENERGY</t>
  </si>
  <si>
    <t>Contact:</t>
  </si>
  <si>
    <t>Remarque:</t>
  </si>
  <si>
    <t xml:space="preserve">Client: </t>
  </si>
  <si>
    <t>Adresse de Livraison:</t>
  </si>
  <si>
    <t>CHAMP N° 1</t>
  </si>
  <si>
    <t>CHAMP N°1</t>
  </si>
  <si>
    <t>CHAMP N° 2</t>
  </si>
  <si>
    <t>CHAMP N°2</t>
  </si>
  <si>
    <t>CHAMP N° 3</t>
  </si>
  <si>
    <t>CHAMP N°3</t>
  </si>
  <si>
    <t>CHAMP N° 4</t>
  </si>
  <si>
    <t>CHAMP N°4</t>
  </si>
  <si>
    <t>CHAMP N° 5</t>
  </si>
  <si>
    <t>CHAMP N°5</t>
  </si>
  <si>
    <t>CHAMP N° 6</t>
  </si>
  <si>
    <t>CHAMP N°6</t>
  </si>
  <si>
    <t>CHAMP N° 7</t>
  </si>
  <si>
    <t>CHAMP N°7</t>
  </si>
  <si>
    <t>CHAMP N° 8</t>
  </si>
  <si>
    <t>CHAMP N°8</t>
  </si>
  <si>
    <t>CHAMP N° 9</t>
  </si>
  <si>
    <t>CHAMP N°9</t>
  </si>
  <si>
    <t>CHAMP N° 10</t>
  </si>
  <si>
    <t>CHAMP N°10</t>
  </si>
  <si>
    <t>RECAPITULATIF OPTI'ROOF</t>
  </si>
  <si>
    <t>RECAPITULATIF RS-R</t>
  </si>
  <si>
    <t>Pliage hors standard</t>
  </si>
  <si>
    <t>Type</t>
  </si>
  <si>
    <t>Haut</t>
  </si>
  <si>
    <t>Bas</t>
  </si>
  <si>
    <t>Droite</t>
  </si>
  <si>
    <t>Gauche</t>
  </si>
  <si>
    <t>Qté Totale</t>
  </si>
  <si>
    <t>Montant</t>
  </si>
  <si>
    <t>TOTAL</t>
  </si>
  <si>
    <t>Prix Pc</t>
  </si>
  <si>
    <t>MONTANT TOTAL DE LA COMMANDE</t>
  </si>
  <si>
    <t>Prix/Pc</t>
  </si>
  <si>
    <t>Prix/Box</t>
  </si>
  <si>
    <t>Prix/m²</t>
  </si>
  <si>
    <t>Dév</t>
  </si>
  <si>
    <t>Transport</t>
  </si>
  <si>
    <t>Frais d'emballage</t>
  </si>
  <si>
    <t>Grue</t>
  </si>
  <si>
    <t>Frais de mise en production</t>
  </si>
  <si>
    <t>FRAIS DIVERS (Transport, Grue…)</t>
  </si>
  <si>
    <t>JI ROOF 40mm</t>
  </si>
  <si>
    <t>JI ROOF 60mm</t>
  </si>
  <si>
    <t>JI ROOF 80mm</t>
  </si>
  <si>
    <t>JI ROOF 100mm</t>
  </si>
  <si>
    <t>JI ROOF 120mm</t>
  </si>
  <si>
    <t>JI ROOF 150mm</t>
  </si>
  <si>
    <t>VULCASTEEL ROOF 50mm</t>
  </si>
  <si>
    <t>VULCASTEEL ROOF 60mm</t>
  </si>
  <si>
    <t>VULCASTEEL ROOF 80mm</t>
  </si>
  <si>
    <t>VULCASTEEL ROOF 100mm</t>
  </si>
  <si>
    <t>VULCASTEEL ROOF 120mm</t>
  </si>
  <si>
    <t>VULCASTEEL ROOF 150mm</t>
  </si>
  <si>
    <t>VULCASTEEL ROOF 175mm</t>
  </si>
  <si>
    <t>VULCASTEEL ROOF 200mm</t>
  </si>
  <si>
    <t>PML 40-250-1000 + AC</t>
  </si>
  <si>
    <t>PML 45-333-1000 + AC</t>
  </si>
  <si>
    <t>Faitière Double non crantée DEV600</t>
  </si>
  <si>
    <t>Ral</t>
  </si>
  <si>
    <t>Epaisseur</t>
  </si>
  <si>
    <t>Rail Opti'Roof Sunshine</t>
  </si>
  <si>
    <t>OPTION SURELEVER</t>
  </si>
  <si>
    <t>Rail Jorisolar Opti'Roof Sunshine 100mm</t>
  </si>
  <si>
    <t>OPTION PAYSAGE</t>
  </si>
  <si>
    <t>Plaque Paysage pour pose Paysage</t>
  </si>
  <si>
    <t>Rail Jorisolar Opti'Roof 100mm + joints</t>
  </si>
  <si>
    <t>Joint Opti'Roof</t>
  </si>
  <si>
    <t>Rail Opti'Roof + joints</t>
  </si>
  <si>
    <t>Kit Bride Centrale 27-31 Jorisolar</t>
  </si>
  <si>
    <t>PAN NORD : POSE DE GAUCHE A DROITE (TYPE 4)
PAN SUD : POSE DE DROITE A GAUCHE (TYPE 3)
DEMOUSSAGE POSSIBLE DE 100mm à 450mm
LONGUEUR MINIMUM DE TOLE 1500mm</t>
  </si>
  <si>
    <t xml:space="preserve">ATTENTION!! SI PLUSIEURS EPAISSEUR DE MODULES - FAIRE PLUSIEURS FICHIERS </t>
  </si>
  <si>
    <t>Article</t>
  </si>
  <si>
    <t>VISSERIE (compter 2,5 vis/m²) - vendu par sachet de 100 pcs uniquement</t>
  </si>
  <si>
    <t>Kit Bride Centrale ST02+Terragriff 30-50 universelle Jorisolar</t>
  </si>
  <si>
    <t>Kit Bride Centrale ST02 30-34 Jorisolar</t>
  </si>
  <si>
    <t>Kit Bride Centrale ST02 35-39 Jorisolar</t>
  </si>
  <si>
    <t>Kit Bride Centrale ST02 40-44 Jorisolar</t>
  </si>
  <si>
    <t>Kit Bride Centrale ST02 45-49 Jorisolar</t>
  </si>
  <si>
    <t>Kit Bride Centrale ST02 50 Jorisolar</t>
  </si>
  <si>
    <t>Système d'Intégration RS-R</t>
  </si>
  <si>
    <t>BRIDES CENTRALES UNIVERSELLES (ST02+Terragriff)</t>
  </si>
  <si>
    <t>Bride centrale ST02</t>
  </si>
  <si>
    <t>Kit Bride Centrale ST02+Terragrif 30-50 universelle Jorisolar</t>
  </si>
  <si>
    <t>BRIDES CENTRALES UNIVERSELLES (ST02+Terragrif)</t>
  </si>
  <si>
    <t>Bride Jorisolar ST02 (terre) : 19mm (Réel 18,1mm mais compter 19mm)</t>
  </si>
  <si>
    <t>OPTION SURELEVER (Sunshine)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</si>
</sst>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#,##0\ _€"/>
    <numFmt numFmtId="166" formatCode="#,##0.00\ &quot;€&quot;"/>
    <numFmt numFmtId="167" formatCode="#,##0.00\ [$€-40C];\-#,##0.00\ [$€-40C]"/>
    <numFmt numFmtId="168" formatCode="#,##0.00\ _€"/>
    <numFmt numFmtId="169" formatCode="&quot;m²&quot;"/>
  </numFmts>
  <fonts count="2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4"/>
      <color rgb="FF0070C0"/>
      <name val="Calibri (corps"/>
    </font>
    <font>
      <b/>
      <i/>
      <sz val="14"/>
      <color rgb="FF0070C0"/>
      <name val="Calibri (corps)"/>
    </font>
    <font>
      <b/>
      <i/>
      <u/>
      <sz val="11"/>
      <color rgb="FF0070C0"/>
      <name val="Calibri (corps)"/>
    </font>
    <font>
      <sz val="11"/>
      <color rgb="FF0070C0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b/>
      <u/>
      <sz val="28"/>
      <color rgb="FF0070C0"/>
      <name val="Calibri (corps)"/>
    </font>
    <font>
      <b/>
      <i/>
      <sz val="26"/>
      <color theme="4"/>
      <name val="Calibri (corps)"/>
    </font>
    <font>
      <b/>
      <sz val="2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5"/>
      <color rgb="FF0070C0"/>
      <name val="Calibri (corps)"/>
    </font>
    <font>
      <b/>
      <sz val="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0070C0"/>
      <name val="Calibri (corps)"/>
    </font>
    <font>
      <b/>
      <u/>
      <sz val="18"/>
      <color rgb="FF0070C0"/>
      <name val="Calibri (corps)"/>
    </font>
    <font>
      <b/>
      <sz val="16"/>
      <color rgb="FF0070C0"/>
      <name val="Calibri (corps)"/>
    </font>
    <font>
      <b/>
      <sz val="18"/>
      <color theme="4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4"/>
      <color theme="3"/>
      <name val="Calibri"/>
      <family val="2"/>
      <scheme val="minor"/>
    </font>
    <font>
      <b/>
      <i/>
      <sz val="14"/>
      <color theme="4" tint="0.79998168889431442"/>
      <name val="Calibri (corps"/>
    </font>
    <font>
      <b/>
      <sz val="18"/>
      <color rgb="FFFF0000"/>
      <name val="Calibri"/>
      <family val="2"/>
      <scheme val="minor"/>
    </font>
    <font>
      <b/>
      <i/>
      <u/>
      <sz val="12"/>
      <color rgb="FF0070C0"/>
      <name val="Calibri (corps)"/>
    </font>
    <font>
      <b/>
      <i/>
      <u/>
      <sz val="20"/>
      <color rgb="FF0070C0"/>
      <name val="Calibri (corps)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1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theme="4"/>
      </right>
      <top/>
      <bottom/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 style="thick">
        <color theme="4"/>
      </left>
      <right/>
      <top/>
      <bottom style="medium">
        <color theme="4" tint="0.59999389629810485"/>
      </bottom>
      <diagonal/>
    </border>
    <border>
      <left style="thick">
        <color theme="4"/>
      </left>
      <right/>
      <top style="medium">
        <color theme="4" tint="0.59999389629810485"/>
      </top>
      <bottom/>
      <diagonal/>
    </border>
    <border>
      <left style="thick">
        <color theme="4"/>
      </left>
      <right/>
      <top style="medium">
        <color theme="4" tint="0.59999389629810485"/>
      </top>
      <bottom style="medium">
        <color theme="4" tint="0.59999389629810485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 tint="0.59999389629810485"/>
      </left>
      <right/>
      <top/>
      <bottom/>
      <diagonal/>
    </border>
    <border>
      <left/>
      <right style="thick">
        <color theme="4" tint="0.59999389629810485"/>
      </right>
      <top/>
      <bottom/>
      <diagonal/>
    </border>
    <border>
      <left/>
      <right/>
      <top/>
      <bottom style="thick">
        <color theme="4" tint="0.59999389629810485"/>
      </bottom>
      <diagonal/>
    </border>
    <border>
      <left style="thick">
        <color theme="4" tint="0.59999389629810485"/>
      </left>
      <right style="thick">
        <color theme="4"/>
      </right>
      <top/>
      <bottom/>
      <diagonal/>
    </border>
    <border>
      <left style="thick">
        <color theme="4" tint="0.59999389629810485"/>
      </left>
      <right/>
      <top/>
      <bottom style="thick">
        <color theme="4" tint="0.59999389629810485"/>
      </bottom>
      <diagonal/>
    </border>
    <border>
      <left/>
      <right/>
      <top style="thick">
        <color theme="4"/>
      </top>
      <bottom style="thick">
        <color theme="4" tint="0.59999389629810485"/>
      </bottom>
      <diagonal/>
    </border>
    <border>
      <left/>
      <right style="thick">
        <color theme="4" tint="0.59999389629810485"/>
      </right>
      <top/>
      <bottom style="thick">
        <color theme="4" tint="0.59999389629810485"/>
      </bottom>
      <diagonal/>
    </border>
    <border>
      <left style="thick">
        <color theme="4" tint="0.59999389629810485"/>
      </left>
      <right/>
      <top style="thick">
        <color theme="4" tint="0.59999389629810485"/>
      </top>
      <bottom/>
      <diagonal/>
    </border>
    <border>
      <left/>
      <right/>
      <top style="thick">
        <color theme="4" tint="0.59999389629810485"/>
      </top>
      <bottom style="thick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ck">
        <color rgb="FF0070C0"/>
      </top>
      <bottom style="thick">
        <color rgb="FF0070C0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/>
      <right style="thick">
        <color theme="4" tint="0.59999389629810485"/>
      </right>
      <top style="thick">
        <color theme="4" tint="0.59999389629810485"/>
      </top>
      <bottom/>
      <diagonal/>
    </border>
    <border>
      <left style="thick">
        <color theme="4"/>
      </left>
      <right style="thick">
        <color theme="4" tint="0.59996337778862885"/>
      </right>
      <top/>
      <bottom/>
      <diagonal/>
    </border>
    <border>
      <left style="medium">
        <color theme="4" tint="0.59996337778862885"/>
      </left>
      <right style="medium">
        <color theme="4" tint="0.59996337778862885"/>
      </right>
      <top style="thick">
        <color theme="4"/>
      </top>
      <bottom style="medium">
        <color theme="4" tint="0.59999389629810485"/>
      </bottom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9389629810485"/>
      </top>
      <bottom style="medium">
        <color theme="4" tint="0.59999389629810485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 tint="0.59996337778862885"/>
      </right>
      <top style="thick">
        <color theme="4"/>
      </top>
      <bottom style="medium">
        <color theme="4" tint="0.59996337778862885"/>
      </bottom>
      <diagonal/>
    </border>
    <border>
      <left style="thick">
        <color theme="4"/>
      </left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/>
      <right style="thick">
        <color theme="4" tint="0.59996337778862885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thick">
        <color theme="4"/>
      </top>
      <bottom/>
      <diagonal/>
    </border>
    <border>
      <left style="medium">
        <color theme="4" tint="0.59996337778862885"/>
      </left>
      <right/>
      <top style="thick">
        <color theme="4"/>
      </top>
      <bottom/>
      <diagonal/>
    </border>
    <border>
      <left style="medium">
        <color theme="4" tint="0.59996337778862885"/>
      </left>
      <right/>
      <top/>
      <bottom/>
      <diagonal/>
    </border>
    <border>
      <left style="medium">
        <color theme="4" tint="0.59996337778862885"/>
      </left>
      <right/>
      <top/>
      <bottom style="medium">
        <color theme="4" tint="0.59996337778862885"/>
      </bottom>
      <diagonal/>
    </border>
    <border>
      <left/>
      <right/>
      <top/>
      <bottom style="medium">
        <color theme="4" tint="0.59996337778862885"/>
      </bottom>
      <diagonal/>
    </border>
    <border>
      <left/>
      <right style="thick">
        <color theme="4"/>
      </right>
      <top/>
      <bottom style="medium">
        <color theme="4" tint="0.59996337778862885"/>
      </bottom>
      <diagonal/>
    </border>
    <border>
      <left style="medium">
        <color theme="4" tint="0.59996337778862885"/>
      </left>
      <right/>
      <top/>
      <bottom style="thick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0.59996337778862885"/>
      </left>
      <right/>
      <top style="thick">
        <color theme="4"/>
      </top>
      <bottom style="medium">
        <color theme="4" tint="0.59996337778862885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 style="thick">
        <color theme="4"/>
      </bottom>
      <diagonal/>
    </border>
    <border>
      <left style="medium">
        <color theme="4" tint="0.59996337778862885"/>
      </left>
      <right/>
      <top style="medium">
        <color theme="4" tint="0.59999389629810485"/>
      </top>
      <bottom style="medium">
        <color theme="4" tint="0.59999389629810485"/>
      </bottom>
      <diagonal/>
    </border>
    <border>
      <left style="medium">
        <color theme="4" tint="0.59996337778862885"/>
      </left>
      <right/>
      <top/>
      <bottom style="medium">
        <color theme="4" tint="0.59999389629810485"/>
      </bottom>
      <diagonal/>
    </border>
    <border>
      <left style="medium">
        <color theme="4" tint="0.59996337778862885"/>
      </left>
      <right/>
      <top style="medium">
        <color theme="4" tint="0.59999389629810485"/>
      </top>
      <bottom/>
      <diagonal/>
    </border>
    <border>
      <left style="medium">
        <color theme="4" tint="0.59996337778862885"/>
      </left>
      <right style="medium">
        <color theme="4" tint="0.59996337778862885"/>
      </right>
      <top style="thick">
        <color theme="4"/>
      </top>
      <bottom style="thick">
        <color theme="4"/>
      </bottom>
      <diagonal/>
    </border>
    <border>
      <left style="medium">
        <color theme="4" tint="0.39997558519241921"/>
      </left>
      <right style="medium">
        <color theme="4" tint="0.39994506668294322"/>
      </right>
      <top style="thick">
        <color theme="4"/>
      </top>
      <bottom style="thick">
        <color theme="4"/>
      </bottom>
      <diagonal/>
    </border>
    <border>
      <left style="medium">
        <color theme="4" tint="0.39994506668294322"/>
      </left>
      <right/>
      <top style="thick">
        <color theme="4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9389629810485"/>
      </top>
      <bottom/>
      <diagonal/>
    </border>
    <border>
      <left style="medium">
        <color theme="4" tint="0.59996337778862885"/>
      </left>
      <right/>
      <top style="medium">
        <color theme="4" tint="0.59996337778862885"/>
      </top>
      <bottom/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ck">
        <color theme="4"/>
      </right>
      <top style="thick">
        <color theme="4"/>
      </top>
      <bottom style="medium">
        <color theme="4" tint="0.59996337778862885"/>
      </bottom>
      <diagonal/>
    </border>
    <border>
      <left style="thick">
        <color theme="4"/>
      </left>
      <right style="thick">
        <color theme="4"/>
      </right>
      <top style="medium">
        <color theme="4" tint="0.59996337778862885"/>
      </top>
      <bottom style="medium">
        <color theme="4" tint="0.59996337778862885"/>
      </bottom>
      <diagonal/>
    </border>
    <border>
      <left style="thick">
        <color theme="4"/>
      </left>
      <right style="thick">
        <color theme="4"/>
      </right>
      <top style="medium">
        <color theme="4" tint="0.59996337778862885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medium">
        <color theme="3" tint="0.79998168889431442"/>
      </bottom>
      <diagonal/>
    </border>
    <border>
      <left style="thick">
        <color theme="4"/>
      </left>
      <right style="thick">
        <color theme="4"/>
      </right>
      <top style="medium">
        <color theme="3" tint="0.79998168889431442"/>
      </top>
      <bottom style="medium">
        <color theme="3" tint="0.79998168889431442"/>
      </bottom>
      <diagonal/>
    </border>
    <border>
      <left style="thick">
        <color theme="4"/>
      </left>
      <right style="thick">
        <color theme="4"/>
      </right>
      <top style="medium">
        <color theme="3" tint="0.79998168889431442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 style="medium">
        <color theme="4" tint="0.79998168889431442"/>
      </top>
      <bottom style="medium">
        <color theme="3" tint="0.79998168889431442"/>
      </bottom>
      <diagonal/>
    </border>
    <border>
      <left style="medium">
        <color theme="4" tint="0.59996337778862885"/>
      </left>
      <right style="medium">
        <color theme="4" tint="0.59996337778862885"/>
      </right>
      <top/>
      <bottom style="medium">
        <color theme="4" tint="0.59999389629810485"/>
      </bottom>
      <diagonal/>
    </border>
    <border>
      <left style="medium">
        <color theme="3" tint="0.79998168889431442"/>
      </left>
      <right style="medium">
        <color theme="3" tint="0.79998168889431442"/>
      </right>
      <top style="thick">
        <color theme="4"/>
      </top>
      <bottom style="thick">
        <color theme="4"/>
      </bottom>
      <diagonal/>
    </border>
    <border>
      <left style="medium">
        <color theme="3" tint="0.79998168889431442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 style="thick">
        <color theme="4"/>
      </bottom>
      <diagonal/>
    </border>
    <border>
      <left style="medium">
        <color theme="4"/>
      </left>
      <right/>
      <top style="thick">
        <color theme="4"/>
      </top>
      <bottom style="thick">
        <color theme="4"/>
      </bottom>
      <diagonal/>
    </border>
    <border>
      <left/>
      <right style="medium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 tint="0.59996337778862885"/>
      </left>
      <right style="medium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/>
      </left>
      <right/>
      <top style="thick">
        <color theme="4"/>
      </top>
      <bottom/>
      <diagonal/>
    </border>
    <border>
      <left style="medium">
        <color theme="4" tint="0.59996337778862885"/>
      </left>
      <right style="medium">
        <color theme="4"/>
      </right>
      <top style="thick">
        <color theme="4"/>
      </top>
      <bottom style="medium">
        <color theme="4" tint="0.59996337778862885"/>
      </bottom>
      <diagonal/>
    </border>
    <border>
      <left style="medium">
        <color theme="4" tint="0.59996337778862885"/>
      </left>
      <right style="medium">
        <color theme="4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theme="4" tint="0.59996337778862885"/>
      </left>
      <right style="medium">
        <color theme="4"/>
      </right>
      <top style="medium">
        <color theme="4" tint="0.59996337778862885"/>
      </top>
      <bottom style="thick">
        <color theme="4"/>
      </bottom>
      <diagonal/>
    </border>
    <border>
      <left style="medium">
        <color theme="4"/>
      </left>
      <right style="medium">
        <color theme="4" tint="0.59996337778862885"/>
      </right>
      <top style="medium">
        <color theme="3" tint="0.79998168889431442"/>
      </top>
      <bottom style="thick">
        <color theme="4"/>
      </bottom>
      <diagonal/>
    </border>
    <border>
      <left style="medium">
        <color theme="4"/>
      </left>
      <right style="medium">
        <color theme="4" tint="0.59996337778862885"/>
      </right>
      <top style="medium">
        <color theme="3" tint="0.79998168889431442"/>
      </top>
      <bottom style="medium">
        <color theme="3" tint="0.79998168889431442"/>
      </bottom>
      <diagonal/>
    </border>
    <border>
      <left style="medium">
        <color theme="4"/>
      </left>
      <right style="medium">
        <color theme="4" tint="0.59996337778862885"/>
      </right>
      <top style="thick">
        <color theme="4"/>
      </top>
      <bottom style="medium">
        <color theme="3" tint="0.79998168889431442"/>
      </bottom>
      <diagonal/>
    </border>
    <border>
      <left style="thick">
        <color theme="4"/>
      </left>
      <right style="thick">
        <color theme="4"/>
      </right>
      <top/>
      <bottom style="medium">
        <color theme="3" tint="0.79998168889431442"/>
      </bottom>
      <diagonal/>
    </border>
    <border>
      <left style="thick">
        <color theme="4"/>
      </left>
      <right style="medium">
        <color theme="4" tint="0.59996337778862885"/>
      </right>
      <top style="medium">
        <color theme="4" tint="0.59996337778862885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/>
      <bottom style="medium">
        <color theme="4" tint="0.59999389629810485"/>
      </bottom>
      <diagonal/>
    </border>
    <border>
      <left style="thick">
        <color theme="4"/>
      </left>
      <right style="thick">
        <color theme="4"/>
      </right>
      <top/>
      <bottom style="thick">
        <color theme="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97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5" xfId="0" applyBorder="1"/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" fillId="0" borderId="0" xfId="0" applyFont="1"/>
    <xf numFmtId="0" fontId="3" fillId="0" borderId="13" xfId="0" applyFont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164" fontId="0" fillId="0" borderId="13" xfId="1" applyNumberFormat="1" applyFont="1" applyBorder="1" applyAlignment="1" applyProtection="1">
      <alignment horizontal="center"/>
      <protection locked="0"/>
    </xf>
    <xf numFmtId="164" fontId="0" fillId="0" borderId="0" xfId="1" applyNumberFormat="1" applyFont="1" applyBorder="1" applyAlignment="1" applyProtection="1">
      <alignment horizontal="center"/>
      <protection locked="0"/>
    </xf>
    <xf numFmtId="0" fontId="0" fillId="3" borderId="13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9" fillId="0" borderId="0" xfId="0" applyFont="1"/>
    <xf numFmtId="0" fontId="10" fillId="0" borderId="0" xfId="0" applyFont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13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3" fontId="0" fillId="0" borderId="0" xfId="0" applyNumberFormat="1" applyProtection="1">
      <protection locked="0"/>
    </xf>
    <xf numFmtId="3" fontId="0" fillId="0" borderId="13" xfId="0" applyNumberFormat="1" applyBorder="1" applyAlignment="1" applyProtection="1">
      <alignment horizontal="center" vertical="center"/>
      <protection locked="0"/>
    </xf>
    <xf numFmtId="164" fontId="0" fillId="0" borderId="13" xfId="0" applyNumberForma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4" fillId="0" borderId="13" xfId="0" applyFont="1" applyBorder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/>
    <xf numFmtId="0" fontId="0" fillId="0" borderId="60" xfId="0" applyBorder="1"/>
    <xf numFmtId="0" fontId="0" fillId="0" borderId="7" xfId="0" applyBorder="1" applyAlignment="1">
      <alignment horizontal="center"/>
    </xf>
    <xf numFmtId="0" fontId="16" fillId="0" borderId="27" xfId="0" applyFont="1" applyBorder="1" applyAlignment="1">
      <alignment vertical="center"/>
    </xf>
    <xf numFmtId="0" fontId="0" fillId="0" borderId="61" xfId="0" applyBorder="1"/>
    <xf numFmtId="0" fontId="6" fillId="0" borderId="27" xfId="0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0" fillId="0" borderId="67" xfId="0" applyBorder="1"/>
    <xf numFmtId="0" fontId="0" fillId="0" borderId="13" xfId="0" applyBorder="1" applyProtection="1">
      <protection hidden="1"/>
    </xf>
    <xf numFmtId="0" fontId="0" fillId="0" borderId="13" xfId="0" applyBorder="1" applyAlignment="1" applyProtection="1">
      <alignment horizontal="center"/>
      <protection hidden="1"/>
    </xf>
    <xf numFmtId="3" fontId="0" fillId="0" borderId="13" xfId="0" applyNumberFormat="1" applyBorder="1" applyAlignment="1" applyProtection="1">
      <alignment horizontal="center"/>
      <protection hidden="1"/>
    </xf>
    <xf numFmtId="3" fontId="0" fillId="0" borderId="13" xfId="0" applyNumberFormat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0" fillId="0" borderId="15" xfId="0" applyBorder="1" applyAlignment="1" applyProtection="1">
      <alignment horizontal="center"/>
      <protection hidden="1"/>
    </xf>
    <xf numFmtId="3" fontId="0" fillId="0" borderId="15" xfId="0" applyNumberFormat="1" applyBorder="1" applyAlignment="1" applyProtection="1">
      <alignment horizontal="center"/>
      <protection hidden="1"/>
    </xf>
    <xf numFmtId="3" fontId="0" fillId="0" borderId="2" xfId="0" applyNumberFormat="1" applyBorder="1" applyProtection="1">
      <protection hidden="1"/>
    </xf>
    <xf numFmtId="0" fontId="0" fillId="0" borderId="3" xfId="0" applyBorder="1" applyProtection="1">
      <protection hidden="1"/>
    </xf>
    <xf numFmtId="3" fontId="0" fillId="0" borderId="4" xfId="0" applyNumberFormat="1" applyBorder="1" applyProtection="1">
      <protection hidden="1"/>
    </xf>
    <xf numFmtId="0" fontId="0" fillId="0" borderId="5" xfId="0" applyBorder="1" applyProtection="1">
      <protection hidden="1"/>
    </xf>
    <xf numFmtId="0" fontId="0" fillId="0" borderId="16" xfId="0" applyBorder="1" applyAlignment="1" applyProtection="1">
      <alignment horizontal="center"/>
      <protection hidden="1"/>
    </xf>
    <xf numFmtId="3" fontId="0" fillId="0" borderId="16" xfId="0" applyNumberFormat="1" applyBorder="1" applyAlignment="1" applyProtection="1">
      <alignment horizontal="center"/>
      <protection hidden="1"/>
    </xf>
    <xf numFmtId="3" fontId="0" fillId="0" borderId="6" xfId="0" applyNumberFormat="1" applyBorder="1" applyProtection="1">
      <protection hidden="1"/>
    </xf>
    <xf numFmtId="3" fontId="0" fillId="0" borderId="17" xfId="0" applyNumberFormat="1" applyBorder="1" applyAlignment="1" applyProtection="1">
      <alignment horizontal="center"/>
      <protection hidden="1"/>
    </xf>
    <xf numFmtId="1" fontId="0" fillId="0" borderId="13" xfId="0" applyNumberFormat="1" applyBorder="1" applyAlignment="1" applyProtection="1">
      <alignment horizontal="center" vertical="center"/>
      <protection hidden="1"/>
    </xf>
    <xf numFmtId="165" fontId="0" fillId="0" borderId="13" xfId="0" applyNumberForma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65" fontId="0" fillId="0" borderId="15" xfId="0" applyNumberFormat="1" applyBorder="1" applyAlignment="1" applyProtection="1">
      <alignment horizontal="center" vertical="center"/>
      <protection hidden="1"/>
    </xf>
    <xf numFmtId="165" fontId="0" fillId="0" borderId="2" xfId="0" applyNumberFormat="1" applyBorder="1" applyProtection="1">
      <protection hidden="1"/>
    </xf>
    <xf numFmtId="165" fontId="0" fillId="0" borderId="4" xfId="0" applyNumberFormat="1" applyBorder="1" applyProtection="1"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165" fontId="0" fillId="0" borderId="16" xfId="0" applyNumberFormat="1" applyBorder="1" applyAlignment="1" applyProtection="1">
      <alignment horizontal="center" vertical="center"/>
      <protection hidden="1"/>
    </xf>
    <xf numFmtId="165" fontId="0" fillId="0" borderId="6" xfId="0" applyNumberFormat="1" applyBorder="1" applyProtection="1"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165" fontId="0" fillId="0" borderId="18" xfId="0" applyNumberFormat="1" applyBorder="1" applyProtection="1">
      <protection hidden="1"/>
    </xf>
    <xf numFmtId="0" fontId="0" fillId="0" borderId="17" xfId="0" applyBorder="1" applyAlignment="1" applyProtection="1">
      <alignment horizontal="center"/>
      <protection hidden="1"/>
    </xf>
    <xf numFmtId="0" fontId="21" fillId="0" borderId="27" xfId="0" applyFont="1" applyBorder="1" applyAlignment="1">
      <alignment horizontal="left" vertical="center" wrapText="1"/>
    </xf>
    <xf numFmtId="0" fontId="0" fillId="4" borderId="63" xfId="0" applyFill="1" applyBorder="1" applyProtection="1">
      <protection hidden="1"/>
    </xf>
    <xf numFmtId="0" fontId="0" fillId="4" borderId="63" xfId="0" applyFill="1" applyBorder="1"/>
    <xf numFmtId="0" fontId="11" fillId="0" borderId="27" xfId="0" applyFont="1" applyBorder="1" applyAlignment="1">
      <alignment horizontal="center" vertical="center"/>
    </xf>
    <xf numFmtId="0" fontId="0" fillId="2" borderId="4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0" fillId="0" borderId="8" xfId="0" applyBorder="1" applyProtection="1">
      <protection hidden="1"/>
    </xf>
    <xf numFmtId="0" fontId="0" fillId="2" borderId="2" xfId="0" applyFill="1" applyBorder="1" applyAlignment="1" applyProtection="1">
      <alignment horizontal="center"/>
      <protection locked="0"/>
    </xf>
    <xf numFmtId="0" fontId="0" fillId="0" borderId="76" xfId="0" applyBorder="1" applyAlignment="1">
      <alignment horizontal="center"/>
    </xf>
    <xf numFmtId="0" fontId="0" fillId="0" borderId="77" xfId="0" applyBorder="1"/>
    <xf numFmtId="0" fontId="3" fillId="0" borderId="17" xfId="0" applyFont="1" applyBorder="1" applyAlignment="1" applyProtection="1">
      <alignment horizontal="center"/>
      <protection locked="0"/>
    </xf>
    <xf numFmtId="1" fontId="0" fillId="0" borderId="13" xfId="0" applyNumberFormat="1" applyBorder="1" applyAlignment="1" applyProtection="1">
      <alignment horizontal="center"/>
      <protection hidden="1"/>
    </xf>
    <xf numFmtId="1" fontId="0" fillId="0" borderId="17" xfId="0" applyNumberFormat="1" applyBorder="1" applyAlignment="1" applyProtection="1">
      <alignment horizontal="center"/>
      <protection hidden="1"/>
    </xf>
    <xf numFmtId="1" fontId="0" fillId="0" borderId="16" xfId="0" applyNumberFormat="1" applyBorder="1" applyAlignment="1" applyProtection="1">
      <alignment horizontal="center"/>
      <protection hidden="1"/>
    </xf>
    <xf numFmtId="1" fontId="0" fillId="0" borderId="14" xfId="0" applyNumberFormat="1" applyBorder="1" applyAlignment="1" applyProtection="1">
      <alignment horizontal="center"/>
      <protection hidden="1"/>
    </xf>
    <xf numFmtId="1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0" fillId="4" borderId="84" xfId="0" applyFill="1" applyBorder="1"/>
    <xf numFmtId="0" fontId="0" fillId="4" borderId="84" xfId="0" applyFill="1" applyBorder="1" applyProtection="1">
      <protection hidden="1"/>
    </xf>
    <xf numFmtId="0" fontId="7" fillId="0" borderId="88" xfId="0" applyFont="1" applyBorder="1" applyAlignment="1">
      <alignment horizontal="center" vertical="center"/>
    </xf>
    <xf numFmtId="0" fontId="7" fillId="0" borderId="89" xfId="0" applyFont="1" applyBorder="1" applyAlignment="1">
      <alignment horizontal="center" vertical="center"/>
    </xf>
    <xf numFmtId="0" fontId="6" fillId="4" borderId="87" xfId="0" applyFont="1" applyFill="1" applyBorder="1" applyAlignment="1">
      <alignment horizontal="center" vertical="center" wrapText="1"/>
    </xf>
    <xf numFmtId="0" fontId="24" fillId="0" borderId="65" xfId="0" applyFont="1" applyBorder="1" applyAlignment="1" applyProtection="1">
      <alignment horizontal="center"/>
      <protection locked="0"/>
    </xf>
    <xf numFmtId="0" fontId="24" fillId="0" borderId="62" xfId="0" applyFont="1" applyBorder="1" applyAlignment="1" applyProtection="1">
      <alignment horizontal="center"/>
      <protection locked="0"/>
    </xf>
    <xf numFmtId="0" fontId="24" fillId="0" borderId="81" xfId="0" applyFont="1" applyBorder="1" applyAlignment="1" applyProtection="1">
      <alignment horizontal="center"/>
      <protection locked="0"/>
    </xf>
    <xf numFmtId="0" fontId="24" fillId="0" borderId="66" xfId="0" applyFont="1" applyBorder="1" applyAlignment="1" applyProtection="1">
      <alignment horizontal="center"/>
      <protection locked="0"/>
    </xf>
    <xf numFmtId="0" fontId="24" fillId="0" borderId="63" xfId="0" applyFont="1" applyBorder="1" applyAlignment="1" applyProtection="1">
      <alignment horizontal="center"/>
      <protection locked="0"/>
    </xf>
    <xf numFmtId="0" fontId="24" fillId="0" borderId="82" xfId="0" applyFont="1" applyBorder="1" applyAlignment="1" applyProtection="1">
      <alignment horizontal="center"/>
      <protection locked="0"/>
    </xf>
    <xf numFmtId="0" fontId="24" fillId="0" borderId="91" xfId="0" applyFont="1" applyBorder="1" applyAlignment="1" applyProtection="1">
      <alignment horizontal="center"/>
      <protection locked="0"/>
    </xf>
    <xf numFmtId="0" fontId="24" fillId="0" borderId="92" xfId="0" applyFont="1" applyBorder="1" applyAlignment="1" applyProtection="1">
      <alignment horizontal="center"/>
      <protection locked="0"/>
    </xf>
    <xf numFmtId="0" fontId="24" fillId="0" borderId="26" xfId="0" applyFont="1" applyBorder="1" applyAlignment="1" applyProtection="1">
      <alignment horizontal="center"/>
      <protection locked="0"/>
    </xf>
    <xf numFmtId="0" fontId="24" fillId="0" borderId="85" xfId="0" applyFont="1" applyBorder="1" applyAlignment="1" applyProtection="1">
      <alignment horizontal="center"/>
      <protection locked="0"/>
    </xf>
    <xf numFmtId="0" fontId="24" fillId="0" borderId="84" xfId="0" applyFont="1" applyBorder="1" applyAlignment="1" applyProtection="1">
      <alignment horizontal="center"/>
      <protection locked="0"/>
    </xf>
    <xf numFmtId="0" fontId="24" fillId="0" borderId="86" xfId="0" applyFont="1" applyBorder="1" applyAlignment="1" applyProtection="1">
      <alignment horizontal="center"/>
      <protection locked="0"/>
    </xf>
    <xf numFmtId="0" fontId="24" fillId="0" borderId="26" xfId="0" applyFont="1" applyBorder="1" applyAlignment="1" applyProtection="1">
      <alignment horizontal="center"/>
      <protection hidden="1"/>
    </xf>
    <xf numFmtId="0" fontId="24" fillId="0" borderId="63" xfId="0" applyFont="1" applyBorder="1" applyAlignment="1" applyProtection="1">
      <alignment horizontal="center"/>
      <protection hidden="1"/>
    </xf>
    <xf numFmtId="0" fontId="24" fillId="0" borderId="25" xfId="0" applyFont="1" applyBorder="1" applyAlignment="1" applyProtection="1">
      <alignment horizontal="center"/>
      <protection hidden="1"/>
    </xf>
    <xf numFmtId="0" fontId="0" fillId="4" borderId="91" xfId="0" applyFill="1" applyBorder="1" applyProtection="1">
      <protection hidden="1"/>
    </xf>
    <xf numFmtId="0" fontId="0" fillId="4" borderId="86" xfId="0" applyFill="1" applyBorder="1" applyProtection="1">
      <protection hidden="1"/>
    </xf>
    <xf numFmtId="0" fontId="6" fillId="4" borderId="20" xfId="0" applyFont="1" applyFill="1" applyBorder="1" applyAlignment="1">
      <alignment vertical="center"/>
    </xf>
    <xf numFmtId="0" fontId="6" fillId="4" borderId="90" xfId="0" applyFont="1" applyFill="1" applyBorder="1" applyAlignment="1">
      <alignment horizontal="center" vertical="center"/>
    </xf>
    <xf numFmtId="0" fontId="6" fillId="4" borderId="90" xfId="0" applyFont="1" applyFill="1" applyBorder="1" applyAlignment="1">
      <alignment horizontal="center"/>
    </xf>
    <xf numFmtId="0" fontId="6" fillId="4" borderId="90" xfId="0" applyFont="1" applyFill="1" applyBorder="1" applyAlignment="1">
      <alignment horizontal="center" vertical="center" wrapText="1"/>
    </xf>
    <xf numFmtId="166" fontId="24" fillId="0" borderId="94" xfId="0" applyNumberFormat="1" applyFont="1" applyBorder="1" applyAlignment="1" applyProtection="1">
      <alignment horizontal="center"/>
      <protection hidden="1"/>
    </xf>
    <xf numFmtId="166" fontId="24" fillId="0" borderId="95" xfId="0" applyNumberFormat="1" applyFont="1" applyBorder="1" applyAlignment="1" applyProtection="1">
      <alignment horizontal="center"/>
      <protection hidden="1"/>
    </xf>
    <xf numFmtId="166" fontId="24" fillId="0" borderId="96" xfId="0" applyNumberFormat="1" applyFont="1" applyBorder="1" applyAlignment="1" applyProtection="1">
      <alignment horizontal="center"/>
      <protection hidden="1"/>
    </xf>
    <xf numFmtId="166" fontId="23" fillId="0" borderId="90" xfId="0" applyNumberFormat="1" applyFont="1" applyBorder="1" applyAlignment="1" applyProtection="1">
      <alignment horizontal="center"/>
      <protection hidden="1"/>
    </xf>
    <xf numFmtId="166" fontId="24" fillId="0" borderId="98" xfId="0" applyNumberFormat="1" applyFont="1" applyBorder="1" applyAlignment="1" applyProtection="1">
      <alignment horizontal="center"/>
      <protection hidden="1"/>
    </xf>
    <xf numFmtId="166" fontId="24" fillId="0" borderId="99" xfId="0" applyNumberFormat="1" applyFont="1" applyBorder="1" applyAlignment="1" applyProtection="1">
      <alignment horizontal="center"/>
      <protection hidden="1"/>
    </xf>
    <xf numFmtId="166" fontId="24" fillId="0" borderId="93" xfId="0" applyNumberFormat="1" applyFont="1" applyBorder="1" applyAlignment="1" applyProtection="1">
      <alignment horizontal="center"/>
      <protection hidden="1"/>
    </xf>
    <xf numFmtId="166" fontId="24" fillId="0" borderId="100" xfId="0" applyNumberFormat="1" applyFont="1" applyBorder="1" applyAlignment="1" applyProtection="1">
      <alignment horizontal="center"/>
      <protection hidden="1"/>
    </xf>
    <xf numFmtId="0" fontId="6" fillId="4" borderId="93" xfId="0" applyFont="1" applyFill="1" applyBorder="1" applyAlignment="1">
      <alignment horizontal="center" vertical="center"/>
    </xf>
    <xf numFmtId="0" fontId="24" fillId="0" borderId="24" xfId="0" applyFont="1" applyBorder="1" applyAlignment="1" applyProtection="1">
      <alignment horizontal="center"/>
      <protection locked="0"/>
    </xf>
    <xf numFmtId="0" fontId="24" fillId="0" borderId="101" xfId="0" applyFont="1" applyBorder="1" applyAlignment="1" applyProtection="1">
      <alignment horizontal="center"/>
      <protection locked="0"/>
    </xf>
    <xf numFmtId="0" fontId="6" fillId="4" borderId="90" xfId="0" applyFont="1" applyFill="1" applyBorder="1" applyAlignment="1">
      <alignment vertical="center"/>
    </xf>
    <xf numFmtId="0" fontId="6" fillId="4" borderId="27" xfId="0" applyFont="1" applyFill="1" applyBorder="1" applyAlignment="1">
      <alignment vertical="center"/>
    </xf>
    <xf numFmtId="0" fontId="6" fillId="0" borderId="102" xfId="0" applyFont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 wrapText="1"/>
    </xf>
    <xf numFmtId="0" fontId="24" fillId="0" borderId="104" xfId="0" applyFont="1" applyBorder="1" applyAlignment="1" applyProtection="1">
      <alignment horizontal="center"/>
      <protection hidden="1"/>
    </xf>
    <xf numFmtId="0" fontId="24" fillId="0" borderId="105" xfId="0" applyFont="1" applyBorder="1" applyAlignment="1" applyProtection="1">
      <alignment horizontal="center"/>
      <protection hidden="1"/>
    </xf>
    <xf numFmtId="0" fontId="24" fillId="0" borderId="106" xfId="0" applyFont="1" applyBorder="1" applyAlignment="1" applyProtection="1">
      <alignment horizontal="center"/>
      <protection hidden="1"/>
    </xf>
    <xf numFmtId="0" fontId="6" fillId="4" borderId="109" xfId="0" applyFont="1" applyFill="1" applyBorder="1" applyAlignment="1">
      <alignment horizontal="center" vertical="center" wrapText="1"/>
    </xf>
    <xf numFmtId="0" fontId="24" fillId="0" borderId="111" xfId="0" applyFont="1" applyBorder="1" applyAlignment="1" applyProtection="1">
      <alignment horizontal="center"/>
      <protection locked="0"/>
    </xf>
    <xf numFmtId="0" fontId="24" fillId="0" borderId="112" xfId="0" applyFont="1" applyBorder="1" applyAlignment="1" applyProtection="1">
      <alignment horizontal="center"/>
      <protection locked="0"/>
    </xf>
    <xf numFmtId="0" fontId="24" fillId="0" borderId="83" xfId="0" applyFont="1" applyBorder="1" applyAlignment="1" applyProtection="1">
      <alignment horizontal="center"/>
      <protection locked="0"/>
    </xf>
    <xf numFmtId="0" fontId="24" fillId="0" borderId="113" xfId="0" applyFont="1" applyBorder="1" applyAlignment="1" applyProtection="1">
      <alignment horizontal="center"/>
      <protection locked="0"/>
    </xf>
    <xf numFmtId="0" fontId="6" fillId="4" borderId="110" xfId="0" applyFont="1" applyFill="1" applyBorder="1" applyAlignment="1">
      <alignment horizontal="center" vertical="center"/>
    </xf>
    <xf numFmtId="0" fontId="24" fillId="0" borderId="115" xfId="0" applyFont="1" applyBorder="1" applyAlignment="1" applyProtection="1">
      <alignment horizontal="center"/>
      <protection locked="0"/>
    </xf>
    <xf numFmtId="0" fontId="24" fillId="0" borderId="114" xfId="0" applyFont="1" applyBorder="1" applyAlignment="1" applyProtection="1">
      <alignment horizontal="center"/>
      <protection locked="0"/>
    </xf>
    <xf numFmtId="0" fontId="24" fillId="0" borderId="116" xfId="0" applyFont="1" applyBorder="1" applyAlignment="1" applyProtection="1">
      <alignment horizontal="center"/>
      <protection locked="0"/>
    </xf>
    <xf numFmtId="166" fontId="24" fillId="0" borderId="117" xfId="0" applyNumberFormat="1" applyFont="1" applyBorder="1" applyAlignment="1" applyProtection="1">
      <alignment horizontal="center"/>
      <protection hidden="1"/>
    </xf>
    <xf numFmtId="0" fontId="24" fillId="0" borderId="118" xfId="0" applyFont="1" applyBorder="1" applyAlignment="1" applyProtection="1">
      <alignment horizontal="center"/>
      <protection locked="0"/>
    </xf>
    <xf numFmtId="0" fontId="25" fillId="4" borderId="29" xfId="0" applyFont="1" applyFill="1" applyBorder="1" applyAlignment="1" applyProtection="1">
      <alignment vertical="center"/>
      <protection hidden="1"/>
    </xf>
    <xf numFmtId="166" fontId="24" fillId="0" borderId="94" xfId="0" applyNumberFormat="1" applyFont="1" applyBorder="1" applyAlignment="1" applyProtection="1">
      <alignment horizontal="center"/>
      <protection locked="0" hidden="1"/>
    </xf>
    <xf numFmtId="166" fontId="24" fillId="0" borderId="95" xfId="0" applyNumberFormat="1" applyFont="1" applyBorder="1" applyAlignment="1" applyProtection="1">
      <alignment horizontal="center"/>
      <protection locked="0" hidden="1"/>
    </xf>
    <xf numFmtId="166" fontId="24" fillId="0" borderId="96" xfId="0" applyNumberFormat="1" applyFont="1" applyBorder="1" applyAlignment="1" applyProtection="1">
      <alignment horizontal="center"/>
      <protection locked="0" hidden="1"/>
    </xf>
    <xf numFmtId="167" fontId="24" fillId="0" borderId="97" xfId="0" applyNumberFormat="1" applyFont="1" applyBorder="1" applyAlignment="1" applyProtection="1">
      <alignment horizontal="center"/>
      <protection locked="0" hidden="1"/>
    </xf>
    <xf numFmtId="167" fontId="24" fillId="0" borderId="98" xfId="0" applyNumberFormat="1" applyFont="1" applyBorder="1" applyAlignment="1" applyProtection="1">
      <alignment horizontal="center"/>
      <protection locked="0" hidden="1"/>
    </xf>
    <xf numFmtId="167" fontId="24" fillId="0" borderId="99" xfId="0" applyNumberFormat="1" applyFont="1" applyBorder="1" applyAlignment="1" applyProtection="1">
      <alignment horizontal="center"/>
      <protection locked="0" hidden="1"/>
    </xf>
    <xf numFmtId="0" fontId="6" fillId="0" borderId="103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165" fontId="0" fillId="0" borderId="121" xfId="0" applyNumberFormat="1" applyBorder="1" applyProtection="1">
      <protection hidden="1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17" xfId="0" applyFont="1" applyBorder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3" fontId="3" fillId="0" borderId="13" xfId="0" applyNumberFormat="1" applyFont="1" applyBorder="1" applyAlignment="1">
      <alignment horizontal="center"/>
    </xf>
    <xf numFmtId="3" fontId="3" fillId="0" borderId="0" xfId="0" applyNumberFormat="1" applyFont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 applyProtection="1">
      <alignment horizontal="center" vertical="center"/>
      <protection locked="0"/>
    </xf>
    <xf numFmtId="3" fontId="0" fillId="0" borderId="0" xfId="0" applyNumberFormat="1" applyAlignment="1">
      <alignment horizontal="center" vertical="center"/>
    </xf>
    <xf numFmtId="164" fontId="0" fillId="0" borderId="0" xfId="0" applyNumberFormat="1" applyAlignment="1" applyProtection="1">
      <alignment horizontal="center" vertical="center"/>
      <protection locked="0"/>
    </xf>
    <xf numFmtId="164" fontId="0" fillId="0" borderId="0" xfId="0" applyNumberFormat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3" fontId="0" fillId="0" borderId="0" xfId="0" applyNumberFormat="1"/>
    <xf numFmtId="0" fontId="3" fillId="0" borderId="1" xfId="0" applyFont="1" applyBorder="1" applyAlignment="1" applyProtection="1">
      <alignment horizontal="center"/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3" fillId="0" borderId="13" xfId="0" applyFont="1" applyBorder="1" applyAlignment="1">
      <alignment horizontal="center"/>
    </xf>
    <xf numFmtId="1" fontId="0" fillId="0" borderId="16" xfId="0" applyNumberFormat="1" applyBorder="1" applyAlignment="1" applyProtection="1">
      <alignment horizontal="center" vertical="center"/>
      <protection hidden="1"/>
    </xf>
    <xf numFmtId="168" fontId="0" fillId="0" borderId="16" xfId="0" applyNumberFormat="1" applyBorder="1" applyAlignment="1" applyProtection="1">
      <alignment horizontal="center" vertical="center"/>
      <protection hidden="1"/>
    </xf>
    <xf numFmtId="3" fontId="0" fillId="0" borderId="14" xfId="0" applyNumberFormat="1" applyBorder="1" applyAlignment="1" applyProtection="1">
      <alignment horizontal="center"/>
      <protection hidden="1"/>
    </xf>
    <xf numFmtId="3" fontId="0" fillId="0" borderId="14" xfId="0" applyNumberFormat="1" applyBorder="1" applyAlignment="1" applyProtection="1">
      <alignment horizontal="center" vertical="center"/>
      <protection hidden="1"/>
    </xf>
    <xf numFmtId="1" fontId="0" fillId="0" borderId="122" xfId="0" applyNumberFormat="1" applyBorder="1" applyAlignment="1" applyProtection="1">
      <alignment horizontal="center"/>
      <protection hidden="1"/>
    </xf>
    <xf numFmtId="0" fontId="0" fillId="0" borderId="122" xfId="0" applyBorder="1" applyAlignment="1" applyProtection="1">
      <alignment horizontal="center" vertical="center"/>
      <protection hidden="1"/>
    </xf>
    <xf numFmtId="165" fontId="0" fillId="0" borderId="122" xfId="0" applyNumberFormat="1" applyBorder="1" applyAlignment="1" applyProtection="1">
      <alignment horizontal="center" vertical="center"/>
      <protection hidden="1"/>
    </xf>
    <xf numFmtId="0" fontId="0" fillId="0" borderId="123" xfId="0" applyBorder="1" applyAlignment="1" applyProtection="1">
      <alignment horizontal="center" vertical="center"/>
      <protection hidden="1"/>
    </xf>
    <xf numFmtId="0" fontId="0" fillId="0" borderId="122" xfId="0" applyBorder="1" applyAlignment="1" applyProtection="1">
      <alignment horizontal="center"/>
      <protection hidden="1"/>
    </xf>
    <xf numFmtId="3" fontId="0" fillId="0" borderId="122" xfId="0" applyNumberFormat="1" applyBorder="1" applyAlignment="1" applyProtection="1">
      <alignment horizontal="center"/>
      <protection hidden="1"/>
    </xf>
    <xf numFmtId="3" fontId="0" fillId="0" borderId="123" xfId="0" applyNumberFormat="1" applyBorder="1" applyAlignment="1" applyProtection="1">
      <alignment horizontal="center" vertical="center"/>
      <protection hidden="1"/>
    </xf>
    <xf numFmtId="165" fontId="0" fillId="0" borderId="17" xfId="0" applyNumberFormat="1" applyBorder="1" applyAlignment="1" applyProtection="1">
      <alignment horizontal="center" vertical="center"/>
      <protection hidden="1"/>
    </xf>
    <xf numFmtId="3" fontId="0" fillId="0" borderId="121" xfId="0" applyNumberFormat="1" applyBorder="1" applyProtection="1">
      <protection hidden="1"/>
    </xf>
    <xf numFmtId="9" fontId="0" fillId="0" borderId="0" xfId="0" applyNumberFormat="1"/>
    <xf numFmtId="164" fontId="0" fillId="0" borderId="0" xfId="0" applyNumberFormat="1"/>
    <xf numFmtId="0" fontId="0" fillId="0" borderId="126" xfId="0" applyBorder="1" applyProtection="1">
      <protection hidden="1"/>
    </xf>
    <xf numFmtId="0" fontId="0" fillId="0" borderId="127" xfId="0" applyBorder="1" applyAlignment="1" applyProtection="1">
      <alignment horizontal="center"/>
      <protection hidden="1"/>
    </xf>
    <xf numFmtId="1" fontId="0" fillId="0" borderId="127" xfId="0" applyNumberFormat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165" fontId="0" fillId="0" borderId="0" xfId="0" applyNumberFormat="1" applyProtection="1">
      <protection hidden="1"/>
    </xf>
    <xf numFmtId="3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0" fillId="3" borderId="13" xfId="0" applyNumberFormat="1" applyFill="1" applyBorder="1" applyAlignment="1">
      <alignment horizontal="center" vertical="center"/>
    </xf>
    <xf numFmtId="0" fontId="0" fillId="0" borderId="43" xfId="0" applyBorder="1" applyProtection="1">
      <protection hidden="1"/>
    </xf>
    <xf numFmtId="0" fontId="0" fillId="0" borderId="43" xfId="0" applyBorder="1" applyAlignment="1" applyProtection="1">
      <alignment horizontal="center"/>
      <protection hidden="1"/>
    </xf>
    <xf numFmtId="1" fontId="0" fillId="0" borderId="43" xfId="0" applyNumberFormat="1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165" fontId="0" fillId="0" borderId="43" xfId="0" applyNumberFormat="1" applyBorder="1" applyAlignment="1" applyProtection="1">
      <alignment horizontal="center" vertical="center"/>
      <protection hidden="1"/>
    </xf>
    <xf numFmtId="165" fontId="0" fillId="0" borderId="43" xfId="0" applyNumberFormat="1" applyBorder="1" applyProtection="1">
      <protection hidden="1"/>
    </xf>
    <xf numFmtId="0" fontId="5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3" borderId="13" xfId="0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2" fontId="0" fillId="0" borderId="13" xfId="0" applyNumberFormat="1" applyBorder="1"/>
    <xf numFmtId="0" fontId="3" fillId="0" borderId="14" xfId="0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14" xfId="0" applyFont="1" applyBorder="1" applyAlignment="1">
      <alignment horizontal="center"/>
    </xf>
    <xf numFmtId="3" fontId="3" fillId="0" borderId="14" xfId="0" applyNumberFormat="1" applyFont="1" applyBorder="1" applyAlignment="1">
      <alignment horizontal="center"/>
    </xf>
    <xf numFmtId="0" fontId="4" fillId="0" borderId="0" xfId="0" applyFont="1" applyAlignment="1" applyProtection="1">
      <alignment horizontal="center"/>
      <protection hidden="1"/>
    </xf>
    <xf numFmtId="1" fontId="0" fillId="0" borderId="13" xfId="0" applyNumberFormat="1" applyBorder="1" applyAlignment="1">
      <alignment horizontal="center" vertical="center"/>
    </xf>
    <xf numFmtId="3" fontId="0" fillId="0" borderId="6" xfId="0" applyNumberFormat="1" applyBorder="1" applyAlignment="1" applyProtection="1">
      <alignment horizontal="center"/>
      <protection hidden="1"/>
    </xf>
    <xf numFmtId="0" fontId="0" fillId="3" borderId="13" xfId="0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0" fillId="2" borderId="13" xfId="0" applyFill="1" applyBorder="1" applyAlignment="1" applyProtection="1">
      <alignment horizontal="center"/>
      <protection locked="0"/>
    </xf>
    <xf numFmtId="0" fontId="0" fillId="4" borderId="122" xfId="0" applyFill="1" applyBorder="1" applyAlignment="1" applyProtection="1">
      <alignment horizontal="center"/>
      <protection hidden="1"/>
    </xf>
    <xf numFmtId="1" fontId="0" fillId="4" borderId="123" xfId="0" applyNumberFormat="1" applyFill="1" applyBorder="1" applyAlignment="1" applyProtection="1">
      <alignment horizontal="center" vertical="center"/>
      <protection hidden="1"/>
    </xf>
    <xf numFmtId="0" fontId="0" fillId="4" borderId="17" xfId="0" applyFill="1" applyBorder="1" applyAlignment="1" applyProtection="1">
      <alignment horizontal="center"/>
      <protection hidden="1"/>
    </xf>
    <xf numFmtId="1" fontId="0" fillId="4" borderId="121" xfId="0" applyNumberFormat="1" applyFill="1" applyBorder="1" applyAlignment="1" applyProtection="1">
      <alignment horizontal="center" vertical="center"/>
      <protection hidden="1"/>
    </xf>
    <xf numFmtId="0" fontId="0" fillId="4" borderId="3" xfId="0" applyFill="1" applyBorder="1" applyProtection="1">
      <protection hidden="1"/>
    </xf>
    <xf numFmtId="0" fontId="0" fillId="4" borderId="13" xfId="0" applyFill="1" applyBorder="1" applyAlignment="1" applyProtection="1">
      <alignment horizontal="center"/>
      <protection hidden="1"/>
    </xf>
    <xf numFmtId="1" fontId="0" fillId="4" borderId="4" xfId="0" applyNumberFormat="1" applyFill="1" applyBorder="1" applyAlignment="1" applyProtection="1">
      <alignment horizontal="center" vertical="center"/>
      <protection hidden="1"/>
    </xf>
    <xf numFmtId="0" fontId="0" fillId="4" borderId="5" xfId="0" applyFill="1" applyBorder="1" applyProtection="1">
      <protection hidden="1"/>
    </xf>
    <xf numFmtId="0" fontId="0" fillId="4" borderId="16" xfId="0" applyFill="1" applyBorder="1" applyAlignment="1" applyProtection="1">
      <alignment horizontal="center"/>
      <protection hidden="1"/>
    </xf>
    <xf numFmtId="1" fontId="0" fillId="4" borderId="6" xfId="0" applyNumberFormat="1" applyFill="1" applyBorder="1" applyAlignment="1" applyProtection="1">
      <alignment horizontal="center" vertical="center"/>
      <protection hidden="1"/>
    </xf>
    <xf numFmtId="0" fontId="0" fillId="4" borderId="1" xfId="0" applyFill="1" applyBorder="1" applyProtection="1">
      <protection hidden="1"/>
    </xf>
    <xf numFmtId="0" fontId="0" fillId="4" borderId="15" xfId="0" applyFill="1" applyBorder="1" applyAlignment="1" applyProtection="1">
      <alignment horizontal="center"/>
      <protection hidden="1"/>
    </xf>
    <xf numFmtId="1" fontId="0" fillId="4" borderId="2" xfId="0" applyNumberFormat="1" applyFill="1" applyBorder="1" applyAlignment="1" applyProtection="1">
      <alignment horizontal="center" vertical="center"/>
      <protection hidden="1"/>
    </xf>
    <xf numFmtId="0" fontId="0" fillId="4" borderId="128" xfId="0" applyFill="1" applyBorder="1" applyAlignment="1" applyProtection="1">
      <alignment horizontal="center"/>
      <protection hidden="1"/>
    </xf>
    <xf numFmtId="3" fontId="0" fillId="4" borderId="18" xfId="0" applyNumberFormat="1" applyFill="1" applyBorder="1" applyAlignment="1" applyProtection="1">
      <alignment horizontal="center"/>
      <protection hidden="1"/>
    </xf>
    <xf numFmtId="0" fontId="0" fillId="4" borderId="129" xfId="0" applyFill="1" applyBorder="1" applyAlignment="1" applyProtection="1">
      <alignment horizontal="center"/>
      <protection hidden="1"/>
    </xf>
    <xf numFmtId="3" fontId="0" fillId="4" borderId="2" xfId="0" applyNumberFormat="1" applyFill="1" applyBorder="1" applyAlignment="1" applyProtection="1">
      <alignment horizontal="center"/>
      <protection hidden="1"/>
    </xf>
    <xf numFmtId="0" fontId="0" fillId="4" borderId="7" xfId="0" applyFill="1" applyBorder="1" applyAlignment="1" applyProtection="1">
      <alignment horizontal="center"/>
      <protection hidden="1"/>
    </xf>
    <xf numFmtId="3" fontId="0" fillId="4" borderId="4" xfId="0" applyNumberFormat="1" applyFill="1" applyBorder="1" applyAlignment="1" applyProtection="1">
      <alignment horizontal="center"/>
      <protection hidden="1"/>
    </xf>
    <xf numFmtId="0" fontId="0" fillId="4" borderId="130" xfId="0" applyFill="1" applyBorder="1" applyAlignment="1" applyProtection="1">
      <alignment horizontal="center"/>
      <protection hidden="1"/>
    </xf>
    <xf numFmtId="3" fontId="0" fillId="4" borderId="6" xfId="0" applyNumberFormat="1" applyFill="1" applyBorder="1" applyAlignment="1" applyProtection="1">
      <alignment horizontal="center"/>
      <protection hidden="1"/>
    </xf>
    <xf numFmtId="0" fontId="0" fillId="4" borderId="131" xfId="0" applyFill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2" borderId="15" xfId="0" applyFill="1" applyBorder="1" applyAlignment="1" applyProtection="1">
      <alignment horizontal="center"/>
      <protection hidden="1"/>
    </xf>
    <xf numFmtId="1" fontId="0" fillId="2" borderId="2" xfId="0" applyNumberFormat="1" applyFill="1" applyBorder="1" applyAlignment="1" applyProtection="1">
      <alignment horizontal="center" vertical="center"/>
      <protection hidden="1"/>
    </xf>
    <xf numFmtId="0" fontId="0" fillId="2" borderId="3" xfId="0" applyFill="1" applyBorder="1" applyProtection="1">
      <protection hidden="1"/>
    </xf>
    <xf numFmtId="0" fontId="0" fillId="2" borderId="13" xfId="0" applyFill="1" applyBorder="1" applyAlignment="1" applyProtection="1">
      <alignment horizontal="center"/>
      <protection hidden="1"/>
    </xf>
    <xf numFmtId="1" fontId="0" fillId="2" borderId="4" xfId="0" applyNumberFormat="1" applyFill="1" applyBorder="1" applyAlignment="1" applyProtection="1">
      <alignment horizontal="center" vertical="center"/>
      <protection hidden="1"/>
    </xf>
    <xf numFmtId="0" fontId="0" fillId="2" borderId="5" xfId="0" applyFill="1" applyBorder="1" applyProtection="1">
      <protection hidden="1"/>
    </xf>
    <xf numFmtId="0" fontId="0" fillId="2" borderId="16" xfId="0" applyFill="1" applyBorder="1" applyAlignment="1" applyProtection="1">
      <alignment horizontal="center"/>
      <protection hidden="1"/>
    </xf>
    <xf numFmtId="1" fontId="0" fillId="2" borderId="6" xfId="0" applyNumberFormat="1" applyFill="1" applyBorder="1" applyAlignment="1" applyProtection="1">
      <alignment horizontal="center" vertical="center"/>
      <protection hidden="1"/>
    </xf>
    <xf numFmtId="0" fontId="0" fillId="2" borderId="131" xfId="0" applyFill="1" applyBorder="1" applyAlignment="1" applyProtection="1">
      <alignment horizontal="center"/>
      <protection hidden="1"/>
    </xf>
    <xf numFmtId="3" fontId="0" fillId="2" borderId="2" xfId="0" applyNumberFormat="1" applyFill="1" applyBorder="1" applyAlignment="1" applyProtection="1">
      <alignment horizontal="center"/>
      <protection hidden="1"/>
    </xf>
    <xf numFmtId="0" fontId="0" fillId="2" borderId="7" xfId="0" applyFill="1" applyBorder="1" applyAlignment="1" applyProtection="1">
      <alignment horizontal="center"/>
      <protection hidden="1"/>
    </xf>
    <xf numFmtId="3" fontId="0" fillId="2" borderId="4" xfId="0" applyNumberFormat="1" applyFill="1" applyBorder="1" applyAlignment="1" applyProtection="1">
      <alignment horizontal="center"/>
      <protection hidden="1"/>
    </xf>
    <xf numFmtId="0" fontId="0" fillId="2" borderId="130" xfId="0" applyFill="1" applyBorder="1" applyAlignment="1" applyProtection="1">
      <alignment horizontal="center"/>
      <protection hidden="1"/>
    </xf>
    <xf numFmtId="3" fontId="0" fillId="2" borderId="6" xfId="0" applyNumberFormat="1" applyFill="1" applyBorder="1" applyAlignment="1" applyProtection="1">
      <alignment horizontal="center"/>
      <protection hidden="1"/>
    </xf>
    <xf numFmtId="0" fontId="0" fillId="6" borderId="5" xfId="0" applyFill="1" applyBorder="1" applyProtection="1">
      <protection hidden="1"/>
    </xf>
    <xf numFmtId="0" fontId="0" fillId="6" borderId="16" xfId="0" applyFill="1" applyBorder="1" applyAlignment="1" applyProtection="1">
      <alignment horizontal="center"/>
      <protection hidden="1"/>
    </xf>
    <xf numFmtId="1" fontId="0" fillId="6" borderId="133" xfId="0" applyNumberFormat="1" applyFill="1" applyBorder="1" applyAlignment="1" applyProtection="1">
      <alignment horizontal="center" vertical="center"/>
      <protection hidden="1"/>
    </xf>
    <xf numFmtId="3" fontId="0" fillId="6" borderId="6" xfId="0" applyNumberFormat="1" applyFill="1" applyBorder="1" applyAlignment="1" applyProtection="1">
      <alignment horizontal="center"/>
      <protection hidden="1"/>
    </xf>
    <xf numFmtId="0" fontId="0" fillId="7" borderId="1" xfId="0" applyFill="1" applyBorder="1" applyProtection="1">
      <protection hidden="1"/>
    </xf>
    <xf numFmtId="0" fontId="0" fillId="7" borderId="48" xfId="0" applyFill="1" applyBorder="1" applyAlignment="1" applyProtection="1">
      <alignment horizontal="center"/>
      <protection hidden="1"/>
    </xf>
    <xf numFmtId="1" fontId="0" fillId="7" borderId="2" xfId="0" applyNumberFormat="1" applyFill="1" applyBorder="1" applyAlignment="1" applyProtection="1">
      <alignment horizontal="center" vertical="center"/>
      <protection hidden="1"/>
    </xf>
    <xf numFmtId="0" fontId="0" fillId="7" borderId="13" xfId="0" applyFill="1" applyBorder="1" applyProtection="1">
      <protection hidden="1"/>
    </xf>
    <xf numFmtId="0" fontId="0" fillId="7" borderId="13" xfId="0" applyFill="1" applyBorder="1" applyAlignment="1" applyProtection="1">
      <alignment horizontal="center"/>
      <protection hidden="1"/>
    </xf>
    <xf numFmtId="1" fontId="0" fillId="7" borderId="4" xfId="0" applyNumberFormat="1" applyFill="1" applyBorder="1" applyAlignment="1" applyProtection="1">
      <alignment horizontal="center" vertical="center"/>
      <protection hidden="1"/>
    </xf>
    <xf numFmtId="0" fontId="0" fillId="7" borderId="15" xfId="0" applyFill="1" applyBorder="1" applyAlignment="1" applyProtection="1">
      <alignment horizontal="center"/>
      <protection hidden="1"/>
    </xf>
    <xf numFmtId="3" fontId="0" fillId="7" borderId="2" xfId="0" applyNumberFormat="1" applyFill="1" applyBorder="1" applyAlignment="1" applyProtection="1">
      <alignment horizontal="center"/>
      <protection hidden="1"/>
    </xf>
    <xf numFmtId="0" fontId="0" fillId="7" borderId="3" xfId="0" applyFill="1" applyBorder="1" applyProtection="1">
      <protection hidden="1"/>
    </xf>
    <xf numFmtId="3" fontId="0" fillId="7" borderId="4" xfId="0" applyNumberFormat="1" applyFill="1" applyBorder="1" applyAlignment="1" applyProtection="1">
      <alignment horizontal="center"/>
      <protection hidden="1"/>
    </xf>
    <xf numFmtId="0" fontId="0" fillId="8" borderId="124" xfId="0" applyFill="1" applyBorder="1" applyProtection="1">
      <protection hidden="1"/>
    </xf>
    <xf numFmtId="0" fontId="0" fillId="8" borderId="122" xfId="0" applyFill="1" applyBorder="1" applyAlignment="1" applyProtection="1">
      <alignment horizontal="center"/>
      <protection hidden="1"/>
    </xf>
    <xf numFmtId="1" fontId="0" fillId="8" borderId="123" xfId="0" applyNumberFormat="1" applyFill="1" applyBorder="1" applyAlignment="1" applyProtection="1">
      <alignment horizontal="center" vertical="center"/>
      <protection hidden="1"/>
    </xf>
    <xf numFmtId="0" fontId="0" fillId="8" borderId="126" xfId="0" applyFill="1" applyBorder="1" applyProtection="1">
      <protection hidden="1"/>
    </xf>
    <xf numFmtId="0" fontId="0" fillId="8" borderId="132" xfId="0" applyFill="1" applyBorder="1" applyAlignment="1" applyProtection="1">
      <alignment horizontal="center"/>
      <protection hidden="1"/>
    </xf>
    <xf numFmtId="3" fontId="0" fillId="8" borderId="123" xfId="0" applyNumberFormat="1" applyFill="1" applyBorder="1" applyAlignment="1" applyProtection="1">
      <alignment horizontal="center"/>
      <protection hidden="1"/>
    </xf>
    <xf numFmtId="0" fontId="24" fillId="0" borderId="119" xfId="0" applyFont="1" applyBorder="1" applyAlignment="1" applyProtection="1">
      <alignment horizontal="center"/>
      <protection hidden="1"/>
    </xf>
    <xf numFmtId="0" fontId="24" fillId="0" borderId="120" xfId="0" applyFont="1" applyBorder="1" applyAlignment="1" applyProtection="1">
      <alignment horizontal="center"/>
      <protection hidden="1"/>
    </xf>
    <xf numFmtId="0" fontId="16" fillId="0" borderId="90" xfId="0" applyFont="1" applyBorder="1" applyAlignment="1" applyProtection="1">
      <alignment horizontal="center" vertical="center"/>
      <protection locked="0"/>
    </xf>
    <xf numFmtId="166" fontId="24" fillId="0" borderId="94" xfId="0" applyNumberFormat="1" applyFont="1" applyBorder="1" applyAlignment="1" applyProtection="1">
      <alignment horizontal="center"/>
      <protection locked="0"/>
    </xf>
    <xf numFmtId="166" fontId="24" fillId="0" borderId="95" xfId="0" applyNumberFormat="1" applyFont="1" applyBorder="1" applyAlignment="1" applyProtection="1">
      <alignment horizontal="center"/>
      <protection locked="0"/>
    </xf>
    <xf numFmtId="166" fontId="24" fillId="0" borderId="96" xfId="0" applyNumberFormat="1" applyFont="1" applyBorder="1" applyAlignment="1" applyProtection="1">
      <alignment horizontal="center"/>
      <protection locked="0"/>
    </xf>
    <xf numFmtId="166" fontId="24" fillId="0" borderId="98" xfId="0" applyNumberFormat="1" applyFont="1" applyBorder="1" applyAlignment="1" applyProtection="1">
      <alignment horizontal="center"/>
      <protection locked="0"/>
    </xf>
    <xf numFmtId="166" fontId="24" fillId="0" borderId="93" xfId="0" applyNumberFormat="1" applyFont="1" applyBorder="1" applyAlignment="1" applyProtection="1">
      <alignment horizontal="center"/>
      <protection locked="0" hidden="1"/>
    </xf>
    <xf numFmtId="166" fontId="24" fillId="0" borderId="97" xfId="0" applyNumberFormat="1" applyFont="1" applyBorder="1" applyAlignment="1" applyProtection="1">
      <alignment horizontal="center"/>
      <protection hidden="1"/>
    </xf>
    <xf numFmtId="166" fontId="24" fillId="0" borderId="100" xfId="0" applyNumberFormat="1" applyFont="1" applyBorder="1" applyAlignment="1" applyProtection="1">
      <alignment horizontal="center"/>
      <protection locked="0" hidden="1"/>
    </xf>
    <xf numFmtId="166" fontId="24" fillId="0" borderId="98" xfId="0" applyNumberFormat="1" applyFont="1" applyBorder="1" applyAlignment="1" applyProtection="1">
      <alignment horizontal="center"/>
      <protection locked="0" hidden="1"/>
    </xf>
    <xf numFmtId="166" fontId="24" fillId="0" borderId="99" xfId="0" applyNumberFormat="1" applyFont="1" applyBorder="1" applyAlignment="1" applyProtection="1">
      <alignment horizontal="center"/>
      <protection locked="0" hidden="1"/>
    </xf>
    <xf numFmtId="169" fontId="6" fillId="0" borderId="90" xfId="0" applyNumberFormat="1" applyFont="1" applyBorder="1" applyAlignment="1" applyProtection="1">
      <alignment horizontal="center" vertical="center"/>
      <protection hidden="1"/>
    </xf>
    <xf numFmtId="0" fontId="0" fillId="4" borderId="125" xfId="0" applyFill="1" applyBorder="1" applyProtection="1">
      <protection hidden="1"/>
    </xf>
    <xf numFmtId="0" fontId="0" fillId="4" borderId="124" xfId="0" applyFill="1" applyBorder="1" applyProtection="1">
      <protection hidden="1"/>
    </xf>
    <xf numFmtId="0" fontId="0" fillId="0" borderId="124" xfId="0" applyBorder="1" applyProtection="1">
      <protection hidden="1"/>
    </xf>
    <xf numFmtId="0" fontId="0" fillId="0" borderId="125" xfId="0" applyBorder="1" applyProtection="1">
      <protection hidden="1"/>
    </xf>
    <xf numFmtId="0" fontId="0" fillId="0" borderId="0" xfId="0" quotePrefix="1"/>
    <xf numFmtId="0" fontId="4" fillId="9" borderId="13" xfId="0" applyFont="1" applyFill="1" applyBorder="1" applyAlignment="1">
      <alignment horizontal="center"/>
    </xf>
    <xf numFmtId="4" fontId="0" fillId="0" borderId="14" xfId="0" applyNumberFormat="1" applyBorder="1" applyAlignment="1" applyProtection="1">
      <alignment horizontal="center"/>
      <protection hidden="1"/>
    </xf>
    <xf numFmtId="4" fontId="0" fillId="0" borderId="14" xfId="0" applyNumberFormat="1" applyBorder="1" applyAlignment="1" applyProtection="1">
      <alignment horizontal="center" vertical="center"/>
      <protection hidden="1"/>
    </xf>
    <xf numFmtId="0" fontId="12" fillId="0" borderId="50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1" fillId="0" borderId="0" xfId="0" applyFont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26" fillId="0" borderId="0" xfId="0" applyFont="1" applyAlignment="1" applyProtection="1">
      <alignment horizontal="center" vertical="center"/>
      <protection locked="0"/>
    </xf>
    <xf numFmtId="0" fontId="0" fillId="2" borderId="13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5" borderId="78" xfId="0" applyFont="1" applyFill="1" applyBorder="1" applyAlignment="1" applyProtection="1">
      <alignment horizontal="center"/>
      <protection locked="0"/>
    </xf>
    <xf numFmtId="0" fontId="3" fillId="5" borderId="79" xfId="0" applyFont="1" applyFill="1" applyBorder="1" applyAlignment="1" applyProtection="1">
      <alignment horizontal="center"/>
      <protection locked="0"/>
    </xf>
    <xf numFmtId="0" fontId="3" fillId="5" borderId="80" xfId="0" applyFont="1" applyFill="1" applyBorder="1" applyAlignment="1" applyProtection="1">
      <alignment horizontal="center"/>
      <protection locked="0"/>
    </xf>
    <xf numFmtId="0" fontId="3" fillId="0" borderId="17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3" fillId="0" borderId="39" xfId="0" applyFont="1" applyBorder="1" applyAlignment="1" applyProtection="1">
      <alignment horizontal="center" vertical="center"/>
      <protection locked="0"/>
    </xf>
    <xf numFmtId="0" fontId="13" fillId="0" borderId="43" xfId="0" applyFont="1" applyBorder="1" applyAlignment="1" applyProtection="1">
      <alignment horizontal="center" vertical="center"/>
      <protection locked="0"/>
    </xf>
    <xf numFmtId="0" fontId="13" fillId="0" borderId="40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left" vertical="center" wrapText="1"/>
    </xf>
    <xf numFmtId="0" fontId="8" fillId="0" borderId="71" xfId="0" applyFont="1" applyBorder="1" applyAlignment="1" applyProtection="1">
      <alignment horizontal="left" vertical="top"/>
      <protection locked="0"/>
    </xf>
    <xf numFmtId="0" fontId="8" fillId="0" borderId="0" xfId="0" applyFont="1" applyAlignment="1" applyProtection="1">
      <alignment horizontal="left" vertical="top"/>
      <protection locked="0"/>
    </xf>
    <xf numFmtId="0" fontId="8" fillId="0" borderId="19" xfId="0" applyFont="1" applyBorder="1" applyAlignment="1" applyProtection="1">
      <alignment horizontal="left" vertical="top"/>
      <protection locked="0"/>
    </xf>
    <xf numFmtId="0" fontId="8" fillId="0" borderId="75" xfId="0" applyFont="1" applyBorder="1" applyAlignment="1" applyProtection="1">
      <alignment horizontal="left" vertical="top"/>
      <protection locked="0"/>
    </xf>
    <xf numFmtId="0" fontId="8" fillId="0" borderId="68" xfId="0" applyFont="1" applyBorder="1" applyAlignment="1" applyProtection="1">
      <alignment horizontal="left" vertical="top"/>
      <protection locked="0"/>
    </xf>
    <xf numFmtId="0" fontId="8" fillId="0" borderId="64" xfId="0" applyFont="1" applyBorder="1" applyAlignment="1" applyProtection="1">
      <alignment horizontal="left" vertical="top"/>
      <protection locked="0"/>
    </xf>
    <xf numFmtId="0" fontId="0" fillId="0" borderId="20" xfId="0" applyBorder="1" applyAlignment="1">
      <alignment horizontal="center"/>
    </xf>
    <xf numFmtId="0" fontId="8" fillId="0" borderId="22" xfId="0" applyFont="1" applyBorder="1" applyAlignment="1" applyProtection="1">
      <alignment horizontal="left" vertical="top"/>
      <protection locked="0"/>
    </xf>
    <xf numFmtId="0" fontId="8" fillId="0" borderId="23" xfId="0" applyFont="1" applyBorder="1" applyAlignment="1" applyProtection="1">
      <alignment horizontal="left" vertical="top"/>
      <protection locked="0"/>
    </xf>
    <xf numFmtId="0" fontId="8" fillId="0" borderId="24" xfId="0" applyFont="1" applyBorder="1" applyAlignment="1" applyProtection="1">
      <alignment horizontal="left" vertical="top"/>
      <protection locked="0"/>
    </xf>
    <xf numFmtId="0" fontId="8" fillId="0" borderId="25" xfId="0" applyFont="1" applyBorder="1" applyAlignment="1" applyProtection="1">
      <alignment horizontal="left" vertical="top"/>
      <protection locked="0"/>
    </xf>
    <xf numFmtId="0" fontId="8" fillId="0" borderId="28" xfId="0" applyFont="1" applyBorder="1" applyAlignment="1" applyProtection="1">
      <alignment horizontal="left" vertical="top"/>
      <protection locked="0"/>
    </xf>
    <xf numFmtId="0" fontId="27" fillId="0" borderId="70" xfId="0" applyFont="1" applyBorder="1" applyAlignment="1" applyProtection="1">
      <alignment horizontal="left" vertical="top"/>
      <protection locked="0"/>
    </xf>
    <xf numFmtId="0" fontId="27" fillId="0" borderId="69" xfId="0" applyFont="1" applyBorder="1" applyAlignment="1" applyProtection="1">
      <alignment horizontal="left" vertical="top"/>
      <protection locked="0"/>
    </xf>
    <xf numFmtId="0" fontId="27" fillId="0" borderId="21" xfId="0" applyFont="1" applyBorder="1" applyAlignment="1" applyProtection="1">
      <alignment horizontal="left" vertical="top"/>
      <protection locked="0"/>
    </xf>
    <xf numFmtId="0" fontId="28" fillId="0" borderId="71" xfId="0" applyFont="1" applyBorder="1" applyAlignment="1" applyProtection="1">
      <alignment horizontal="center" vertical="top"/>
      <protection locked="0"/>
    </xf>
    <xf numFmtId="0" fontId="28" fillId="0" borderId="0" xfId="0" applyFont="1" applyAlignment="1" applyProtection="1">
      <alignment horizontal="center" vertical="top"/>
      <protection locked="0"/>
    </xf>
    <xf numFmtId="0" fontId="28" fillId="0" borderId="19" xfId="0" applyFont="1" applyBorder="1" applyAlignment="1" applyProtection="1">
      <alignment horizontal="center" vertical="top"/>
      <protection locked="0"/>
    </xf>
    <xf numFmtId="0" fontId="28" fillId="0" borderId="72" xfId="0" applyFont="1" applyBorder="1" applyAlignment="1" applyProtection="1">
      <alignment horizontal="center" vertical="top"/>
      <protection locked="0"/>
    </xf>
    <xf numFmtId="0" fontId="28" fillId="0" borderId="73" xfId="0" applyFont="1" applyBorder="1" applyAlignment="1" applyProtection="1">
      <alignment horizontal="center" vertical="top"/>
      <protection locked="0"/>
    </xf>
    <xf numFmtId="0" fontId="28" fillId="0" borderId="74" xfId="0" applyFont="1" applyBorder="1" applyAlignment="1" applyProtection="1">
      <alignment horizontal="center" vertical="top"/>
      <protection locked="0"/>
    </xf>
    <xf numFmtId="0" fontId="11" fillId="0" borderId="27" xfId="0" applyFont="1" applyBorder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29" xfId="0" applyFont="1" applyBorder="1" applyAlignment="1">
      <alignment horizontal="center" vertical="top"/>
    </xf>
    <xf numFmtId="0" fontId="19" fillId="0" borderId="27" xfId="0" applyFont="1" applyBorder="1" applyAlignment="1" applyProtection="1">
      <alignment horizontal="center" vertical="center"/>
      <protection locked="0"/>
    </xf>
    <xf numFmtId="0" fontId="19" fillId="0" borderId="20" xfId="0" applyFont="1" applyBorder="1" applyAlignment="1" applyProtection="1">
      <alignment horizontal="center" vertical="center"/>
      <protection locked="0"/>
    </xf>
    <xf numFmtId="0" fontId="19" fillId="0" borderId="29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hidden="1"/>
    </xf>
    <xf numFmtId="0" fontId="19" fillId="0" borderId="20" xfId="0" applyFont="1" applyBorder="1" applyAlignment="1" applyProtection="1">
      <alignment horizontal="center" vertical="center"/>
      <protection hidden="1"/>
    </xf>
    <xf numFmtId="0" fontId="19" fillId="0" borderId="29" xfId="0" applyFont="1" applyBorder="1" applyAlignment="1" applyProtection="1">
      <alignment horizontal="center" vertical="center"/>
      <protection hidden="1"/>
    </xf>
    <xf numFmtId="49" fontId="20" fillId="0" borderId="27" xfId="0" applyNumberFormat="1" applyFont="1" applyBorder="1" applyAlignment="1" applyProtection="1">
      <alignment horizontal="center" vertical="center"/>
      <protection locked="0"/>
    </xf>
    <xf numFmtId="49" fontId="20" fillId="0" borderId="20" xfId="0" applyNumberFormat="1" applyFont="1" applyBorder="1" applyAlignment="1" applyProtection="1">
      <alignment horizontal="center" vertical="center"/>
      <protection locked="0"/>
    </xf>
    <xf numFmtId="49" fontId="20" fillId="0" borderId="29" xfId="0" applyNumberFormat="1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top"/>
      <protection locked="0"/>
    </xf>
    <xf numFmtId="0" fontId="11" fillId="0" borderId="20" xfId="0" applyFont="1" applyBorder="1" applyAlignment="1" applyProtection="1">
      <alignment horizontal="center" vertical="top"/>
      <protection locked="0"/>
    </xf>
    <xf numFmtId="0" fontId="11" fillId="0" borderId="29" xfId="0" applyFont="1" applyBorder="1" applyAlignment="1" applyProtection="1">
      <alignment horizontal="center" vertical="top"/>
      <protection locked="0"/>
    </xf>
    <xf numFmtId="0" fontId="6" fillId="4" borderId="27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7" fillId="0" borderId="107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08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6" fillId="4" borderId="29" xfId="0" applyFont="1" applyFill="1" applyBorder="1" applyAlignment="1">
      <alignment horizontal="center" vertical="center"/>
    </xf>
    <xf numFmtId="0" fontId="7" fillId="4" borderId="107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0"/>
  <tableStyles count="0" defaultTableStyle="TableStyleMedium9" defaultPivotStyle="PivotStyleLight16"/>
  <colors>
    <mruColors>
      <color rgb="FFF070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468537</xdr:colOff>
      <xdr:row>15</xdr:row>
      <xdr:rowOff>14795</xdr:rowOff>
    </xdr:from>
    <xdr:to>
      <xdr:col>17</xdr:col>
      <xdr:colOff>712910</xdr:colOff>
      <xdr:row>32</xdr:row>
      <xdr:rowOff>93888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0537" y="3280509"/>
          <a:ext cx="5714444" cy="3167915"/>
        </a:xfrm>
        <a:prstGeom prst="rect">
          <a:avLst/>
        </a:prstGeom>
      </xdr:spPr>
    </xdr:pic>
    <xdr:clientData/>
  </xdr:twoCellAnchor>
  <xdr:twoCellAnchor editAs="oneCell">
    <xdr:from>
      <xdr:col>8</xdr:col>
      <xdr:colOff>657225</xdr:colOff>
      <xdr:row>2</xdr:row>
      <xdr:rowOff>15996</xdr:rowOff>
    </xdr:from>
    <xdr:to>
      <xdr:col>16</xdr:col>
      <xdr:colOff>653520</xdr:colOff>
      <xdr:row>14</xdr:row>
      <xdr:rowOff>133403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1225" y="791603"/>
          <a:ext cx="3942366" cy="2417014"/>
        </a:xfrm>
        <a:prstGeom prst="rect">
          <a:avLst/>
        </a:prstGeom>
      </xdr:spPr>
    </xdr:pic>
    <xdr:clientData/>
  </xdr:twoCellAnchor>
  <xdr:twoCellAnchor editAs="oneCell">
    <xdr:from>
      <xdr:col>0</xdr:col>
      <xdr:colOff>40925</xdr:colOff>
      <xdr:row>2</xdr:row>
      <xdr:rowOff>53068</xdr:rowOff>
    </xdr:from>
    <xdr:to>
      <xdr:col>7</xdr:col>
      <xdr:colOff>457200</xdr:colOff>
      <xdr:row>31</xdr:row>
      <xdr:rowOff>42725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25" y="828675"/>
          <a:ext cx="4988275" cy="5378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</xdr:row>
      <xdr:rowOff>76200</xdr:rowOff>
    </xdr:from>
    <xdr:to>
      <xdr:col>10</xdr:col>
      <xdr:colOff>752475</xdr:colOff>
      <xdr:row>2</xdr:row>
      <xdr:rowOff>76200</xdr:rowOff>
    </xdr:to>
    <xdr:cxnSp macro="">
      <xdr:nvCxnSpPr>
        <xdr:cNvPr id="29" name="Connecteur droit avec flèch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1076325" y="2581275"/>
          <a:ext cx="56959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76201</xdr:colOff>
      <xdr:row>26</xdr:row>
      <xdr:rowOff>95250</xdr:rowOff>
    </xdr:from>
    <xdr:to>
      <xdr:col>2</xdr:col>
      <xdr:colOff>485775</xdr:colOff>
      <xdr:row>26</xdr:row>
      <xdr:rowOff>95250</xdr:rowOff>
    </xdr:to>
    <xdr:cxnSp macro="">
      <xdr:nvCxnSpPr>
        <xdr:cNvPr id="83" name="Connecteur droit avec flèch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CxnSpPr/>
      </xdr:nvCxnSpPr>
      <xdr:spPr>
        <a:xfrm flipH="1">
          <a:off x="600076" y="7553325"/>
          <a:ext cx="409574" cy="0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27</xdr:row>
      <xdr:rowOff>95250</xdr:rowOff>
    </xdr:from>
    <xdr:to>
      <xdr:col>2</xdr:col>
      <xdr:colOff>485774</xdr:colOff>
      <xdr:row>27</xdr:row>
      <xdr:rowOff>95250</xdr:rowOff>
    </xdr:to>
    <xdr:cxnSp macro="">
      <xdr:nvCxnSpPr>
        <xdr:cNvPr id="84" name="Connecteur droit avec flèch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CxnSpPr/>
      </xdr:nvCxnSpPr>
      <xdr:spPr>
        <a:xfrm flipH="1">
          <a:off x="600075" y="7743825"/>
          <a:ext cx="409574" cy="0"/>
        </a:xfrm>
        <a:prstGeom prst="straightConnector1">
          <a:avLst/>
        </a:prstGeom>
        <a:ln>
          <a:solidFill>
            <a:srgbClr val="7030A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28</xdr:row>
      <xdr:rowOff>104775</xdr:rowOff>
    </xdr:from>
    <xdr:to>
      <xdr:col>2</xdr:col>
      <xdr:colOff>476250</xdr:colOff>
      <xdr:row>28</xdr:row>
      <xdr:rowOff>104776</xdr:rowOff>
    </xdr:to>
    <xdr:cxnSp macro="">
      <xdr:nvCxnSpPr>
        <xdr:cNvPr id="85" name="Connecteur droit avec flèche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CxnSpPr/>
      </xdr:nvCxnSpPr>
      <xdr:spPr>
        <a:xfrm flipH="1">
          <a:off x="609600" y="7943850"/>
          <a:ext cx="390525" cy="1"/>
        </a:xfrm>
        <a:prstGeom prst="straightConnector1">
          <a:avLst/>
        </a:prstGeom>
        <a:ln>
          <a:solidFill>
            <a:srgbClr val="F070D8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</xdr:colOff>
      <xdr:row>31</xdr:row>
      <xdr:rowOff>95250</xdr:rowOff>
    </xdr:from>
    <xdr:to>
      <xdr:col>2</xdr:col>
      <xdr:colOff>495300</xdr:colOff>
      <xdr:row>31</xdr:row>
      <xdr:rowOff>95253</xdr:rowOff>
    </xdr:to>
    <xdr:cxnSp macro="">
      <xdr:nvCxnSpPr>
        <xdr:cNvPr id="89" name="Connecteur droit avec flèch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CxnSpPr/>
      </xdr:nvCxnSpPr>
      <xdr:spPr>
        <a:xfrm flipV="1">
          <a:off x="571500" y="8505825"/>
          <a:ext cx="447675" cy="3"/>
        </a:xfrm>
        <a:prstGeom prst="straightConnector1">
          <a:avLst/>
        </a:prstGeom>
        <a:ln>
          <a:solidFill>
            <a:schemeClr val="accent6">
              <a:lumMod val="7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</xdr:colOff>
      <xdr:row>32</xdr:row>
      <xdr:rowOff>95250</xdr:rowOff>
    </xdr:from>
    <xdr:to>
      <xdr:col>2</xdr:col>
      <xdr:colOff>495300</xdr:colOff>
      <xdr:row>32</xdr:row>
      <xdr:rowOff>95252</xdr:rowOff>
    </xdr:to>
    <xdr:cxnSp macro="">
      <xdr:nvCxnSpPr>
        <xdr:cNvPr id="90" name="Connecteur droit avec flèch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CxnSpPr/>
      </xdr:nvCxnSpPr>
      <xdr:spPr>
        <a:xfrm flipV="1">
          <a:off x="571500" y="8696325"/>
          <a:ext cx="447675" cy="2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</xdr:colOff>
      <xdr:row>34</xdr:row>
      <xdr:rowOff>66675</xdr:rowOff>
    </xdr:from>
    <xdr:to>
      <xdr:col>2</xdr:col>
      <xdr:colOff>381001</xdr:colOff>
      <xdr:row>34</xdr:row>
      <xdr:rowOff>114300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695325" y="90487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171450</xdr:colOff>
      <xdr:row>35</xdr:row>
      <xdr:rowOff>76200</xdr:rowOff>
    </xdr:from>
    <xdr:to>
      <xdr:col>2</xdr:col>
      <xdr:colOff>381001</xdr:colOff>
      <xdr:row>35</xdr:row>
      <xdr:rowOff>123825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/>
      </xdr:nvSpPr>
      <xdr:spPr>
        <a:xfrm>
          <a:off x="695325" y="92487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538163</xdr:colOff>
      <xdr:row>16</xdr:row>
      <xdr:rowOff>166687</xdr:rowOff>
    </xdr:from>
    <xdr:to>
      <xdr:col>5</xdr:col>
      <xdr:colOff>1081088</xdr:colOff>
      <xdr:row>19</xdr:row>
      <xdr:rowOff>138112</xdr:rowOff>
    </xdr:to>
    <xdr:sp macro="" textlink="">
      <xdr:nvSpPr>
        <xdr:cNvPr id="176" name="Rectangle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/>
      </xdr:nvSpPr>
      <xdr:spPr>
        <a:xfrm rot="16200000">
          <a:off x="1333500" y="506730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r>
            <a:rPr lang="fr-FR" sz="1100"/>
            <a:t>2</a:t>
          </a:r>
        </a:p>
      </xdr:txBody>
    </xdr:sp>
    <xdr:clientData/>
  </xdr:twoCellAnchor>
  <xdr:twoCellAnchor>
    <xdr:from>
      <xdr:col>4</xdr:col>
      <xdr:colOff>538163</xdr:colOff>
      <xdr:row>19</xdr:row>
      <xdr:rowOff>185737</xdr:rowOff>
    </xdr:from>
    <xdr:to>
      <xdr:col>5</xdr:col>
      <xdr:colOff>1081088</xdr:colOff>
      <xdr:row>22</xdr:row>
      <xdr:rowOff>157162</xdr:rowOff>
    </xdr:to>
    <xdr:sp macro="" textlink="">
      <xdr:nvSpPr>
        <xdr:cNvPr id="177" name="Rectangle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/>
      </xdr:nvSpPr>
      <xdr:spPr>
        <a:xfrm rot="16200000">
          <a:off x="1333500" y="565785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r>
            <a:rPr lang="fr-FR" sz="1100"/>
            <a:t>1</a:t>
          </a:r>
        </a:p>
      </xdr:txBody>
    </xdr:sp>
    <xdr:clientData/>
  </xdr:twoCellAnchor>
  <xdr:twoCellAnchor>
    <xdr:from>
      <xdr:col>5</xdr:col>
      <xdr:colOff>566738</xdr:colOff>
      <xdr:row>7</xdr:row>
      <xdr:rowOff>0</xdr:rowOff>
    </xdr:from>
    <xdr:to>
      <xdr:col>5</xdr:col>
      <xdr:colOff>571500</xdr:colOff>
      <xdr:row>13</xdr:row>
      <xdr:rowOff>180975</xdr:rowOff>
    </xdr:to>
    <xdr:cxnSp macro="">
      <xdr:nvCxnSpPr>
        <xdr:cNvPr id="178" name="Connecteur droit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CxnSpPr/>
      </xdr:nvCxnSpPr>
      <xdr:spPr>
        <a:xfrm>
          <a:off x="1633538" y="3457575"/>
          <a:ext cx="4762" cy="132397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685800</xdr:colOff>
      <xdr:row>13</xdr:row>
      <xdr:rowOff>180975</xdr:rowOff>
    </xdr:from>
    <xdr:to>
      <xdr:col>8</xdr:col>
      <xdr:colOff>28575</xdr:colOff>
      <xdr:row>13</xdr:row>
      <xdr:rowOff>180975</xdr:rowOff>
    </xdr:to>
    <xdr:cxnSp macro="">
      <xdr:nvCxnSpPr>
        <xdr:cNvPr id="179" name="Connecteur droit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CxnSpPr/>
      </xdr:nvCxnSpPr>
      <xdr:spPr>
        <a:xfrm>
          <a:off x="3533775" y="4781550"/>
          <a:ext cx="1047750" cy="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180975</xdr:colOff>
      <xdr:row>3</xdr:row>
      <xdr:rowOff>171450</xdr:rowOff>
    </xdr:from>
    <xdr:to>
      <xdr:col>4</xdr:col>
      <xdr:colOff>180976</xdr:colOff>
      <xdr:row>22</xdr:row>
      <xdr:rowOff>171450</xdr:rowOff>
    </xdr:to>
    <xdr:cxnSp macro="">
      <xdr:nvCxnSpPr>
        <xdr:cNvPr id="180" name="Connecteur droit avec flèche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CxnSpPr/>
      </xdr:nvCxnSpPr>
      <xdr:spPr>
        <a:xfrm>
          <a:off x="704850" y="2867025"/>
          <a:ext cx="1" cy="36195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485775</xdr:colOff>
      <xdr:row>15</xdr:row>
      <xdr:rowOff>57150</xdr:rowOff>
    </xdr:from>
    <xdr:to>
      <xdr:col>5</xdr:col>
      <xdr:colOff>695326</xdr:colOff>
      <xdr:row>15</xdr:row>
      <xdr:rowOff>104775</xdr:rowOff>
    </xdr:to>
    <xdr:sp macro="" textlink="">
      <xdr:nvSpPr>
        <xdr:cNvPr id="182" name="Rectangle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/>
      </xdr:nvSpPr>
      <xdr:spPr>
        <a:xfrm>
          <a:off x="1552575" y="50387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523875</xdr:colOff>
      <xdr:row>23</xdr:row>
      <xdr:rowOff>152400</xdr:rowOff>
    </xdr:from>
    <xdr:to>
      <xdr:col>5</xdr:col>
      <xdr:colOff>304800</xdr:colOff>
      <xdr:row>23</xdr:row>
      <xdr:rowOff>152401</xdr:rowOff>
    </xdr:to>
    <xdr:cxnSp macro="">
      <xdr:nvCxnSpPr>
        <xdr:cNvPr id="185" name="Connecteur droit avec flèche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CxnSpPr/>
      </xdr:nvCxnSpPr>
      <xdr:spPr>
        <a:xfrm flipH="1">
          <a:off x="1047750" y="6657975"/>
          <a:ext cx="323850" cy="1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295279</xdr:colOff>
      <xdr:row>23</xdr:row>
      <xdr:rowOff>152400</xdr:rowOff>
    </xdr:from>
    <xdr:to>
      <xdr:col>5</xdr:col>
      <xdr:colOff>866775</xdr:colOff>
      <xdr:row>23</xdr:row>
      <xdr:rowOff>152400</xdr:rowOff>
    </xdr:to>
    <xdr:cxnSp macro="">
      <xdr:nvCxnSpPr>
        <xdr:cNvPr id="186" name="Connecteur droit avec flèche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CxnSpPr/>
      </xdr:nvCxnSpPr>
      <xdr:spPr>
        <a:xfrm flipH="1">
          <a:off x="1362079" y="6657975"/>
          <a:ext cx="571496" cy="0"/>
        </a:xfrm>
        <a:prstGeom prst="straightConnector1">
          <a:avLst/>
        </a:prstGeom>
        <a:ln>
          <a:solidFill>
            <a:srgbClr val="7030A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847725</xdr:colOff>
      <xdr:row>23</xdr:row>
      <xdr:rowOff>161925</xdr:rowOff>
    </xdr:from>
    <xdr:to>
      <xdr:col>5</xdr:col>
      <xdr:colOff>1419225</xdr:colOff>
      <xdr:row>23</xdr:row>
      <xdr:rowOff>161925</xdr:rowOff>
    </xdr:to>
    <xdr:cxnSp macro="">
      <xdr:nvCxnSpPr>
        <xdr:cNvPr id="187" name="Connecteur droit avec flèche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CxnSpPr/>
      </xdr:nvCxnSpPr>
      <xdr:spPr>
        <a:xfrm flipH="1">
          <a:off x="1914525" y="6667500"/>
          <a:ext cx="571500" cy="0"/>
        </a:xfrm>
        <a:prstGeom prst="straightConnector1">
          <a:avLst/>
        </a:prstGeom>
        <a:ln>
          <a:solidFill>
            <a:srgbClr val="F070D8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409575</xdr:colOff>
      <xdr:row>19</xdr:row>
      <xdr:rowOff>152400</xdr:rowOff>
    </xdr:from>
    <xdr:to>
      <xdr:col>4</xdr:col>
      <xdr:colOff>409575</xdr:colOff>
      <xdr:row>22</xdr:row>
      <xdr:rowOff>142875</xdr:rowOff>
    </xdr:to>
    <xdr:cxnSp macro="">
      <xdr:nvCxnSpPr>
        <xdr:cNvPr id="188" name="Connecteur droit avec flèch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CxnSpPr/>
      </xdr:nvCxnSpPr>
      <xdr:spPr>
        <a:xfrm>
          <a:off x="933450" y="5895975"/>
          <a:ext cx="0" cy="561975"/>
        </a:xfrm>
        <a:prstGeom prst="straightConnector1">
          <a:avLst/>
        </a:prstGeom>
        <a:ln>
          <a:solidFill>
            <a:schemeClr val="accent6">
              <a:lumMod val="7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409575</xdr:colOff>
      <xdr:row>16</xdr:row>
      <xdr:rowOff>123825</xdr:rowOff>
    </xdr:from>
    <xdr:to>
      <xdr:col>4</xdr:col>
      <xdr:colOff>409575</xdr:colOff>
      <xdr:row>19</xdr:row>
      <xdr:rowOff>171451</xdr:rowOff>
    </xdr:to>
    <xdr:cxnSp macro="">
      <xdr:nvCxnSpPr>
        <xdr:cNvPr id="189" name="Connecteur droit avec flèche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>
          <a:off x="933450" y="5295900"/>
          <a:ext cx="0" cy="619126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152399</xdr:rowOff>
    </xdr:from>
    <xdr:to>
      <xdr:col>5</xdr:col>
      <xdr:colOff>1085850</xdr:colOff>
      <xdr:row>16</xdr:row>
      <xdr:rowOff>123824</xdr:rowOff>
    </xdr:to>
    <xdr:sp macro="" textlink="">
      <xdr:nvSpPr>
        <xdr:cNvPr id="191" name="Rectangle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/>
      </xdr:nvSpPr>
      <xdr:spPr>
        <a:xfrm rot="16200000">
          <a:off x="1338262" y="4481512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r>
            <a:rPr lang="fr-FR" sz="1100"/>
            <a:t>3</a:t>
          </a:r>
        </a:p>
      </xdr:txBody>
    </xdr:sp>
    <xdr:clientData/>
  </xdr:twoCellAnchor>
  <xdr:twoCellAnchor>
    <xdr:from>
      <xdr:col>5</xdr:col>
      <xdr:colOff>9525</xdr:colOff>
      <xdr:row>4</xdr:row>
      <xdr:rowOff>9524</xdr:rowOff>
    </xdr:from>
    <xdr:to>
      <xdr:col>5</xdr:col>
      <xdr:colOff>1095375</xdr:colOff>
      <xdr:row>6</xdr:row>
      <xdr:rowOff>171449</xdr:rowOff>
    </xdr:to>
    <xdr:sp macro="" textlink="">
      <xdr:nvSpPr>
        <xdr:cNvPr id="194" name="Rectangle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 rot="16200000">
          <a:off x="1347787" y="2624137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r>
            <a:rPr lang="fr-FR" sz="1100"/>
            <a:t>...</a:t>
          </a:r>
        </a:p>
      </xdr:txBody>
    </xdr:sp>
    <xdr:clientData/>
  </xdr:twoCellAnchor>
  <xdr:twoCellAnchor>
    <xdr:from>
      <xdr:col>5</xdr:col>
      <xdr:colOff>1162050</xdr:colOff>
      <xdr:row>16</xdr:row>
      <xdr:rowOff>166687</xdr:rowOff>
    </xdr:from>
    <xdr:to>
      <xdr:col>6</xdr:col>
      <xdr:colOff>495300</xdr:colOff>
      <xdr:row>19</xdr:row>
      <xdr:rowOff>138112</xdr:rowOff>
    </xdr:to>
    <xdr:sp macro="" textlink="">
      <xdr:nvSpPr>
        <xdr:cNvPr id="201" name="Rectangle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/>
      </xdr:nvSpPr>
      <xdr:spPr>
        <a:xfrm rot="16200000">
          <a:off x="2514600" y="5053012"/>
          <a:ext cx="542925" cy="11144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1162050</xdr:colOff>
      <xdr:row>19</xdr:row>
      <xdr:rowOff>185737</xdr:rowOff>
    </xdr:from>
    <xdr:to>
      <xdr:col>6</xdr:col>
      <xdr:colOff>495300</xdr:colOff>
      <xdr:row>22</xdr:row>
      <xdr:rowOff>157162</xdr:rowOff>
    </xdr:to>
    <xdr:sp macro="" textlink="">
      <xdr:nvSpPr>
        <xdr:cNvPr id="202" name="Rectangl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/>
      </xdr:nvSpPr>
      <xdr:spPr>
        <a:xfrm rot="16200000">
          <a:off x="2514600" y="5643562"/>
          <a:ext cx="542925" cy="11144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r>
            <a:rPr lang="fr-FR" sz="1100"/>
            <a:t>2</a:t>
          </a:r>
        </a:p>
      </xdr:txBody>
    </xdr:sp>
    <xdr:clientData/>
  </xdr:twoCellAnchor>
  <xdr:twoCellAnchor>
    <xdr:from>
      <xdr:col>5</xdr:col>
      <xdr:colOff>1733550</xdr:colOff>
      <xdr:row>7</xdr:row>
      <xdr:rowOff>0</xdr:rowOff>
    </xdr:from>
    <xdr:to>
      <xdr:col>5</xdr:col>
      <xdr:colOff>1738312</xdr:colOff>
      <xdr:row>13</xdr:row>
      <xdr:rowOff>180975</xdr:rowOff>
    </xdr:to>
    <xdr:cxnSp macro="">
      <xdr:nvCxnSpPr>
        <xdr:cNvPr id="203" name="Connecteur droit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CxnSpPr/>
      </xdr:nvCxnSpPr>
      <xdr:spPr>
        <a:xfrm>
          <a:off x="2800350" y="3457575"/>
          <a:ext cx="4762" cy="132397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1166812</xdr:colOff>
      <xdr:row>13</xdr:row>
      <xdr:rowOff>152399</xdr:rowOff>
    </xdr:from>
    <xdr:to>
      <xdr:col>6</xdr:col>
      <xdr:colOff>500062</xdr:colOff>
      <xdr:row>16</xdr:row>
      <xdr:rowOff>123824</xdr:rowOff>
    </xdr:to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/>
      </xdr:nvSpPr>
      <xdr:spPr>
        <a:xfrm rot="16200000">
          <a:off x="2519362" y="4467224"/>
          <a:ext cx="542925" cy="11144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1176337</xdr:colOff>
      <xdr:row>4</xdr:row>
      <xdr:rowOff>9524</xdr:rowOff>
    </xdr:from>
    <xdr:to>
      <xdr:col>6</xdr:col>
      <xdr:colOff>509587</xdr:colOff>
      <xdr:row>6</xdr:row>
      <xdr:rowOff>171449</xdr:rowOff>
    </xdr:to>
    <xdr:sp macro="" textlink="">
      <xdr:nvSpPr>
        <xdr:cNvPr id="211" name="Rectangle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/>
      </xdr:nvSpPr>
      <xdr:spPr>
        <a:xfrm rot="16200000">
          <a:off x="2528887" y="2609849"/>
          <a:ext cx="542925" cy="11144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571500</xdr:colOff>
      <xdr:row>16</xdr:row>
      <xdr:rowOff>176212</xdr:rowOff>
    </xdr:from>
    <xdr:to>
      <xdr:col>7</xdr:col>
      <xdr:colOff>742950</xdr:colOff>
      <xdr:row>19</xdr:row>
      <xdr:rowOff>147637</xdr:rowOff>
    </xdr:to>
    <xdr:sp macro="" textlink="">
      <xdr:nvSpPr>
        <xdr:cNvPr id="218" name="Rectangl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/>
      </xdr:nvSpPr>
      <xdr:spPr>
        <a:xfrm rot="16200000">
          <a:off x="3690937" y="507682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571500</xdr:colOff>
      <xdr:row>20</xdr:row>
      <xdr:rowOff>4762</xdr:rowOff>
    </xdr:from>
    <xdr:to>
      <xdr:col>7</xdr:col>
      <xdr:colOff>742950</xdr:colOff>
      <xdr:row>22</xdr:row>
      <xdr:rowOff>166687</xdr:rowOff>
    </xdr:to>
    <xdr:sp macro="" textlink="">
      <xdr:nvSpPr>
        <xdr:cNvPr id="219" name="Rectangle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/>
      </xdr:nvSpPr>
      <xdr:spPr>
        <a:xfrm rot="16200000">
          <a:off x="3690937" y="566737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r>
            <a:rPr lang="fr-FR" sz="1100"/>
            <a:t>3</a:t>
          </a:r>
        </a:p>
      </xdr:txBody>
    </xdr:sp>
    <xdr:clientData/>
  </xdr:twoCellAnchor>
  <xdr:twoCellAnchor>
    <xdr:from>
      <xdr:col>7</xdr:col>
      <xdr:colOff>228600</xdr:colOff>
      <xdr:row>7</xdr:row>
      <xdr:rowOff>9525</xdr:rowOff>
    </xdr:from>
    <xdr:to>
      <xdr:col>7</xdr:col>
      <xdr:colOff>233362</xdr:colOff>
      <xdr:row>14</xdr:row>
      <xdr:rowOff>0</xdr:rowOff>
    </xdr:to>
    <xdr:cxnSp macro="">
      <xdr:nvCxnSpPr>
        <xdr:cNvPr id="220" name="Connecteur droit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CxnSpPr/>
      </xdr:nvCxnSpPr>
      <xdr:spPr>
        <a:xfrm>
          <a:off x="3990975" y="3467100"/>
          <a:ext cx="4762" cy="132397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576262</xdr:colOff>
      <xdr:row>13</xdr:row>
      <xdr:rowOff>161924</xdr:rowOff>
    </xdr:from>
    <xdr:to>
      <xdr:col>7</xdr:col>
      <xdr:colOff>747712</xdr:colOff>
      <xdr:row>16</xdr:row>
      <xdr:rowOff>133349</xdr:rowOff>
    </xdr:to>
    <xdr:sp macro="" textlink="">
      <xdr:nvSpPr>
        <xdr:cNvPr id="225" name="Rectangle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/>
      </xdr:nvSpPr>
      <xdr:spPr>
        <a:xfrm rot="16200000">
          <a:off x="3695699" y="4491037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585787</xdr:colOff>
      <xdr:row>4</xdr:row>
      <xdr:rowOff>19049</xdr:rowOff>
    </xdr:from>
    <xdr:to>
      <xdr:col>7</xdr:col>
      <xdr:colOff>757237</xdr:colOff>
      <xdr:row>6</xdr:row>
      <xdr:rowOff>180974</xdr:rowOff>
    </xdr:to>
    <xdr:sp macro="" textlink="">
      <xdr:nvSpPr>
        <xdr:cNvPr id="228" name="Rectangle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/>
      </xdr:nvSpPr>
      <xdr:spPr>
        <a:xfrm rot="16200000">
          <a:off x="3705224" y="2633662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400050</xdr:colOff>
      <xdr:row>16</xdr:row>
      <xdr:rowOff>176212</xdr:rowOff>
    </xdr:from>
    <xdr:to>
      <xdr:col>10</xdr:col>
      <xdr:colOff>723900</xdr:colOff>
      <xdr:row>19</xdr:row>
      <xdr:rowOff>147637</xdr:rowOff>
    </xdr:to>
    <xdr:sp macro="" textlink="">
      <xdr:nvSpPr>
        <xdr:cNvPr id="235" name="Rectangl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/>
      </xdr:nvSpPr>
      <xdr:spPr>
        <a:xfrm rot="16200000">
          <a:off x="5986462" y="507682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400050</xdr:colOff>
      <xdr:row>20</xdr:row>
      <xdr:rowOff>4762</xdr:rowOff>
    </xdr:from>
    <xdr:to>
      <xdr:col>10</xdr:col>
      <xdr:colOff>723900</xdr:colOff>
      <xdr:row>22</xdr:row>
      <xdr:rowOff>166687</xdr:rowOff>
    </xdr:to>
    <xdr:sp macro="" textlink="">
      <xdr:nvSpPr>
        <xdr:cNvPr id="236" name="Rectangle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/>
      </xdr:nvSpPr>
      <xdr:spPr>
        <a:xfrm rot="16200000">
          <a:off x="5986462" y="566737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r>
            <a:rPr lang="fr-FR" sz="1100"/>
            <a:t>...</a:t>
          </a:r>
        </a:p>
      </xdr:txBody>
    </xdr:sp>
    <xdr:clientData/>
  </xdr:twoCellAnchor>
  <xdr:twoCellAnchor>
    <xdr:from>
      <xdr:col>10</xdr:col>
      <xdr:colOff>209550</xdr:colOff>
      <xdr:row>7</xdr:row>
      <xdr:rowOff>9525</xdr:rowOff>
    </xdr:from>
    <xdr:to>
      <xdr:col>10</xdr:col>
      <xdr:colOff>214312</xdr:colOff>
      <xdr:row>14</xdr:row>
      <xdr:rowOff>0</xdr:rowOff>
    </xdr:to>
    <xdr:cxnSp macro="">
      <xdr:nvCxnSpPr>
        <xdr:cNvPr id="237" name="Connecteur droit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CxnSpPr/>
      </xdr:nvCxnSpPr>
      <xdr:spPr>
        <a:xfrm>
          <a:off x="6286500" y="3467100"/>
          <a:ext cx="4762" cy="132397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404812</xdr:colOff>
      <xdr:row>13</xdr:row>
      <xdr:rowOff>161924</xdr:rowOff>
    </xdr:from>
    <xdr:to>
      <xdr:col>10</xdr:col>
      <xdr:colOff>728662</xdr:colOff>
      <xdr:row>16</xdr:row>
      <xdr:rowOff>133349</xdr:rowOff>
    </xdr:to>
    <xdr:sp macro="" textlink="">
      <xdr:nvSpPr>
        <xdr:cNvPr id="242" name="Rectangle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/>
      </xdr:nvSpPr>
      <xdr:spPr>
        <a:xfrm rot="16200000">
          <a:off x="5934074" y="4491037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414337</xdr:colOff>
      <xdr:row>4</xdr:row>
      <xdr:rowOff>19049</xdr:rowOff>
    </xdr:from>
    <xdr:to>
      <xdr:col>10</xdr:col>
      <xdr:colOff>738187</xdr:colOff>
      <xdr:row>6</xdr:row>
      <xdr:rowOff>180974</xdr:rowOff>
    </xdr:to>
    <xdr:sp macro="" textlink="">
      <xdr:nvSpPr>
        <xdr:cNvPr id="245" name="Rectangle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/>
      </xdr:nvSpPr>
      <xdr:spPr>
        <a:xfrm rot="16200000">
          <a:off x="6000749" y="2633662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742950</xdr:colOff>
      <xdr:row>21</xdr:row>
      <xdr:rowOff>85725</xdr:rowOff>
    </xdr:from>
    <xdr:to>
      <xdr:col>9</xdr:col>
      <xdr:colOff>400050</xdr:colOff>
      <xdr:row>21</xdr:row>
      <xdr:rowOff>85725</xdr:rowOff>
    </xdr:to>
    <xdr:cxnSp macro="">
      <xdr:nvCxnSpPr>
        <xdr:cNvPr id="252" name="Connecteur droit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CxnSpPr>
          <a:stCxn id="219" idx="2"/>
          <a:endCxn id="236" idx="0"/>
        </xdr:cNvCxnSpPr>
      </xdr:nvCxnSpPr>
      <xdr:spPr>
        <a:xfrm>
          <a:off x="4505325" y="6210300"/>
          <a:ext cx="1209675" cy="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742950</xdr:colOff>
      <xdr:row>18</xdr:row>
      <xdr:rowOff>47625</xdr:rowOff>
    </xdr:from>
    <xdr:to>
      <xdr:col>9</xdr:col>
      <xdr:colOff>400050</xdr:colOff>
      <xdr:row>18</xdr:row>
      <xdr:rowOff>47625</xdr:rowOff>
    </xdr:to>
    <xdr:cxnSp macro="">
      <xdr:nvCxnSpPr>
        <xdr:cNvPr id="253" name="Connecteur droit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CxnSpPr/>
      </xdr:nvCxnSpPr>
      <xdr:spPr>
        <a:xfrm>
          <a:off x="4505325" y="5600700"/>
          <a:ext cx="1209675" cy="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752475</xdr:colOff>
      <xdr:row>15</xdr:row>
      <xdr:rowOff>95250</xdr:rowOff>
    </xdr:from>
    <xdr:to>
      <xdr:col>9</xdr:col>
      <xdr:colOff>409575</xdr:colOff>
      <xdr:row>15</xdr:row>
      <xdr:rowOff>95250</xdr:rowOff>
    </xdr:to>
    <xdr:cxnSp macro="">
      <xdr:nvCxnSpPr>
        <xdr:cNvPr id="254" name="Connecteur droit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CxnSpPr/>
      </xdr:nvCxnSpPr>
      <xdr:spPr>
        <a:xfrm>
          <a:off x="4514850" y="5076825"/>
          <a:ext cx="1209675" cy="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5</xdr:row>
      <xdr:rowOff>104775</xdr:rowOff>
    </xdr:from>
    <xdr:to>
      <xdr:col>9</xdr:col>
      <xdr:colOff>428625</xdr:colOff>
      <xdr:row>5</xdr:row>
      <xdr:rowOff>104775</xdr:rowOff>
    </xdr:to>
    <xdr:cxnSp macro="">
      <xdr:nvCxnSpPr>
        <xdr:cNvPr id="255" name="Connecteur droit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CxnSpPr/>
      </xdr:nvCxnSpPr>
      <xdr:spPr>
        <a:xfrm>
          <a:off x="4562475" y="3181350"/>
          <a:ext cx="1181100" cy="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1409700</xdr:colOff>
      <xdr:row>23</xdr:row>
      <xdr:rowOff>161925</xdr:rowOff>
    </xdr:from>
    <xdr:to>
      <xdr:col>6</xdr:col>
      <xdr:colOff>228596</xdr:colOff>
      <xdr:row>23</xdr:row>
      <xdr:rowOff>161925</xdr:rowOff>
    </xdr:to>
    <xdr:cxnSp macro="">
      <xdr:nvCxnSpPr>
        <xdr:cNvPr id="256" name="Connecteur droit avec flèche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CxnSpPr/>
      </xdr:nvCxnSpPr>
      <xdr:spPr>
        <a:xfrm flipH="1">
          <a:off x="2476500" y="6667500"/>
          <a:ext cx="571496" cy="0"/>
        </a:xfrm>
        <a:prstGeom prst="straightConnector1">
          <a:avLst/>
        </a:prstGeom>
        <a:ln>
          <a:solidFill>
            <a:srgbClr val="7030A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409575</xdr:colOff>
      <xdr:row>13</xdr:row>
      <xdr:rowOff>104775</xdr:rowOff>
    </xdr:from>
    <xdr:to>
      <xdr:col>4</xdr:col>
      <xdr:colOff>409575</xdr:colOff>
      <xdr:row>16</xdr:row>
      <xdr:rowOff>152401</xdr:rowOff>
    </xdr:to>
    <xdr:cxnSp macro="">
      <xdr:nvCxnSpPr>
        <xdr:cNvPr id="257" name="Connecteur droit avec flèche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CxnSpPr/>
      </xdr:nvCxnSpPr>
      <xdr:spPr>
        <a:xfrm>
          <a:off x="933450" y="4705350"/>
          <a:ext cx="0" cy="619126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242888</xdr:colOff>
      <xdr:row>3</xdr:row>
      <xdr:rowOff>90487</xdr:rowOff>
    </xdr:from>
    <xdr:to>
      <xdr:col>5</xdr:col>
      <xdr:colOff>290513</xdr:colOff>
      <xdr:row>4</xdr:row>
      <xdr:rowOff>109538</xdr:rowOff>
    </xdr:to>
    <xdr:sp macro="" textlink="">
      <xdr:nvSpPr>
        <xdr:cNvPr id="259" name="Rectangle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/>
      </xdr:nvSpPr>
      <xdr:spPr>
        <a:xfrm rot="5400000">
          <a:off x="1162050" y="286702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242888</xdr:colOff>
      <xdr:row>6</xdr:row>
      <xdr:rowOff>61912</xdr:rowOff>
    </xdr:from>
    <xdr:to>
      <xdr:col>5</xdr:col>
      <xdr:colOff>290513</xdr:colOff>
      <xdr:row>7</xdr:row>
      <xdr:rowOff>80963</xdr:rowOff>
    </xdr:to>
    <xdr:sp macro="" textlink="">
      <xdr:nvSpPr>
        <xdr:cNvPr id="260" name="Rectangle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/>
      </xdr:nvSpPr>
      <xdr:spPr>
        <a:xfrm rot="5400000">
          <a:off x="1162050" y="34099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823913</xdr:colOff>
      <xdr:row>3</xdr:row>
      <xdr:rowOff>90487</xdr:rowOff>
    </xdr:from>
    <xdr:to>
      <xdr:col>5</xdr:col>
      <xdr:colOff>871538</xdr:colOff>
      <xdr:row>4</xdr:row>
      <xdr:rowOff>109538</xdr:rowOff>
    </xdr:to>
    <xdr:sp macro="" textlink="">
      <xdr:nvSpPr>
        <xdr:cNvPr id="261" name="Rectangle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/>
      </xdr:nvSpPr>
      <xdr:spPr>
        <a:xfrm rot="5400000">
          <a:off x="1743075" y="286702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823913</xdr:colOff>
      <xdr:row>6</xdr:row>
      <xdr:rowOff>61912</xdr:rowOff>
    </xdr:from>
    <xdr:to>
      <xdr:col>5</xdr:col>
      <xdr:colOff>871538</xdr:colOff>
      <xdr:row>7</xdr:row>
      <xdr:rowOff>80963</xdr:rowOff>
    </xdr:to>
    <xdr:sp macro="" textlink="">
      <xdr:nvSpPr>
        <xdr:cNvPr id="262" name="Rectangle 26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/>
      </xdr:nvSpPr>
      <xdr:spPr>
        <a:xfrm rot="5400000">
          <a:off x="1743075" y="34099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1395413</xdr:colOff>
      <xdr:row>3</xdr:row>
      <xdr:rowOff>90487</xdr:rowOff>
    </xdr:from>
    <xdr:to>
      <xdr:col>5</xdr:col>
      <xdr:colOff>1443038</xdr:colOff>
      <xdr:row>4</xdr:row>
      <xdr:rowOff>109538</xdr:rowOff>
    </xdr:to>
    <xdr:sp macro="" textlink="">
      <xdr:nvSpPr>
        <xdr:cNvPr id="263" name="Rectangle 26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/>
      </xdr:nvSpPr>
      <xdr:spPr>
        <a:xfrm rot="5400000">
          <a:off x="2314575" y="286702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1395413</xdr:colOff>
      <xdr:row>6</xdr:row>
      <xdr:rowOff>61912</xdr:rowOff>
    </xdr:from>
    <xdr:to>
      <xdr:col>5</xdr:col>
      <xdr:colOff>1443038</xdr:colOff>
      <xdr:row>7</xdr:row>
      <xdr:rowOff>80963</xdr:rowOff>
    </xdr:to>
    <xdr:sp macro="" textlink="">
      <xdr:nvSpPr>
        <xdr:cNvPr id="264" name="Rectangle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/>
      </xdr:nvSpPr>
      <xdr:spPr>
        <a:xfrm rot="5400000">
          <a:off x="2314575" y="34099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223838</xdr:colOff>
      <xdr:row>3</xdr:row>
      <xdr:rowOff>90487</xdr:rowOff>
    </xdr:from>
    <xdr:to>
      <xdr:col>6</xdr:col>
      <xdr:colOff>271463</xdr:colOff>
      <xdr:row>4</xdr:row>
      <xdr:rowOff>109538</xdr:rowOff>
    </xdr:to>
    <xdr:sp macro="" textlink="">
      <xdr:nvSpPr>
        <xdr:cNvPr id="265" name="Rectangle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/>
      </xdr:nvSpPr>
      <xdr:spPr>
        <a:xfrm rot="5400000">
          <a:off x="2895600" y="286702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223838</xdr:colOff>
      <xdr:row>6</xdr:row>
      <xdr:rowOff>61912</xdr:rowOff>
    </xdr:from>
    <xdr:to>
      <xdr:col>6</xdr:col>
      <xdr:colOff>271463</xdr:colOff>
      <xdr:row>7</xdr:row>
      <xdr:rowOff>80963</xdr:rowOff>
    </xdr:to>
    <xdr:sp macro="" textlink="">
      <xdr:nvSpPr>
        <xdr:cNvPr id="266" name="Rectangle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/>
      </xdr:nvSpPr>
      <xdr:spPr>
        <a:xfrm rot="5400000">
          <a:off x="2895600" y="34099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795338</xdr:colOff>
      <xdr:row>3</xdr:row>
      <xdr:rowOff>100012</xdr:rowOff>
    </xdr:from>
    <xdr:to>
      <xdr:col>6</xdr:col>
      <xdr:colOff>842963</xdr:colOff>
      <xdr:row>4</xdr:row>
      <xdr:rowOff>119063</xdr:rowOff>
    </xdr:to>
    <xdr:sp macro="" textlink="">
      <xdr:nvSpPr>
        <xdr:cNvPr id="267" name="Rectangle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/>
      </xdr:nvSpPr>
      <xdr:spPr>
        <a:xfrm rot="5400000">
          <a:off x="3467100" y="28765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795338</xdr:colOff>
      <xdr:row>6</xdr:row>
      <xdr:rowOff>61912</xdr:rowOff>
    </xdr:from>
    <xdr:to>
      <xdr:col>6</xdr:col>
      <xdr:colOff>842963</xdr:colOff>
      <xdr:row>7</xdr:row>
      <xdr:rowOff>80963</xdr:rowOff>
    </xdr:to>
    <xdr:sp macro="" textlink="">
      <xdr:nvSpPr>
        <xdr:cNvPr id="268" name="Rectangle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/>
      </xdr:nvSpPr>
      <xdr:spPr>
        <a:xfrm rot="5400000">
          <a:off x="3467100" y="34099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461963</xdr:colOff>
      <xdr:row>3</xdr:row>
      <xdr:rowOff>100012</xdr:rowOff>
    </xdr:from>
    <xdr:to>
      <xdr:col>7</xdr:col>
      <xdr:colOff>509588</xdr:colOff>
      <xdr:row>4</xdr:row>
      <xdr:rowOff>119063</xdr:rowOff>
    </xdr:to>
    <xdr:sp macro="" textlink="">
      <xdr:nvSpPr>
        <xdr:cNvPr id="269" name="Rectangle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/>
      </xdr:nvSpPr>
      <xdr:spPr>
        <a:xfrm rot="5400000">
          <a:off x="4048125" y="28765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461963</xdr:colOff>
      <xdr:row>6</xdr:row>
      <xdr:rowOff>61912</xdr:rowOff>
    </xdr:from>
    <xdr:to>
      <xdr:col>7</xdr:col>
      <xdr:colOff>509588</xdr:colOff>
      <xdr:row>7</xdr:row>
      <xdr:rowOff>80963</xdr:rowOff>
    </xdr:to>
    <xdr:sp macro="" textlink="">
      <xdr:nvSpPr>
        <xdr:cNvPr id="270" name="Rectangle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/>
      </xdr:nvSpPr>
      <xdr:spPr>
        <a:xfrm rot="5400000">
          <a:off x="4048125" y="34099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671513</xdr:colOff>
      <xdr:row>3</xdr:row>
      <xdr:rowOff>100012</xdr:rowOff>
    </xdr:from>
    <xdr:to>
      <xdr:col>9</xdr:col>
      <xdr:colOff>719138</xdr:colOff>
      <xdr:row>4</xdr:row>
      <xdr:rowOff>119063</xdr:rowOff>
    </xdr:to>
    <xdr:sp macro="" textlink="">
      <xdr:nvSpPr>
        <xdr:cNvPr id="271" name="Rectangle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/>
      </xdr:nvSpPr>
      <xdr:spPr>
        <a:xfrm rot="5400000">
          <a:off x="5781675" y="28765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671513</xdr:colOff>
      <xdr:row>6</xdr:row>
      <xdr:rowOff>71437</xdr:rowOff>
    </xdr:from>
    <xdr:to>
      <xdr:col>9</xdr:col>
      <xdr:colOff>719138</xdr:colOff>
      <xdr:row>7</xdr:row>
      <xdr:rowOff>90488</xdr:rowOff>
    </xdr:to>
    <xdr:sp macro="" textlink="">
      <xdr:nvSpPr>
        <xdr:cNvPr id="272" name="Rectangle 27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/>
      </xdr:nvSpPr>
      <xdr:spPr>
        <a:xfrm rot="5400000">
          <a:off x="5781675" y="34194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490538</xdr:colOff>
      <xdr:row>3</xdr:row>
      <xdr:rowOff>100012</xdr:rowOff>
    </xdr:from>
    <xdr:to>
      <xdr:col>10</xdr:col>
      <xdr:colOff>538163</xdr:colOff>
      <xdr:row>4</xdr:row>
      <xdr:rowOff>119063</xdr:rowOff>
    </xdr:to>
    <xdr:sp macro="" textlink="">
      <xdr:nvSpPr>
        <xdr:cNvPr id="273" name="Rectangle 272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/>
      </xdr:nvSpPr>
      <xdr:spPr>
        <a:xfrm rot="5400000">
          <a:off x="6362700" y="28765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490538</xdr:colOff>
      <xdr:row>6</xdr:row>
      <xdr:rowOff>71437</xdr:rowOff>
    </xdr:from>
    <xdr:to>
      <xdr:col>10</xdr:col>
      <xdr:colOff>538163</xdr:colOff>
      <xdr:row>7</xdr:row>
      <xdr:rowOff>90488</xdr:rowOff>
    </xdr:to>
    <xdr:sp macro="" textlink="">
      <xdr:nvSpPr>
        <xdr:cNvPr id="274" name="Rectangle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/>
      </xdr:nvSpPr>
      <xdr:spPr>
        <a:xfrm rot="5400000">
          <a:off x="6362700" y="34194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242888</xdr:colOff>
      <xdr:row>13</xdr:row>
      <xdr:rowOff>42862</xdr:rowOff>
    </xdr:from>
    <xdr:to>
      <xdr:col>5</xdr:col>
      <xdr:colOff>290513</xdr:colOff>
      <xdr:row>14</xdr:row>
      <xdr:rowOff>61913</xdr:rowOff>
    </xdr:to>
    <xdr:sp macro="" textlink="">
      <xdr:nvSpPr>
        <xdr:cNvPr id="275" name="Rectangle 27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/>
      </xdr:nvSpPr>
      <xdr:spPr>
        <a:xfrm rot="5400000">
          <a:off x="1162050" y="47244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242888</xdr:colOff>
      <xdr:row>16</xdr:row>
      <xdr:rowOff>33337</xdr:rowOff>
    </xdr:from>
    <xdr:to>
      <xdr:col>5</xdr:col>
      <xdr:colOff>290513</xdr:colOff>
      <xdr:row>17</xdr:row>
      <xdr:rowOff>52388</xdr:rowOff>
    </xdr:to>
    <xdr:sp macro="" textlink="">
      <xdr:nvSpPr>
        <xdr:cNvPr id="276" name="Rectangle 27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/>
      </xdr:nvSpPr>
      <xdr:spPr>
        <a:xfrm rot="5400000">
          <a:off x="1162050" y="52863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823913</xdr:colOff>
      <xdr:row>13</xdr:row>
      <xdr:rowOff>42862</xdr:rowOff>
    </xdr:from>
    <xdr:to>
      <xdr:col>5</xdr:col>
      <xdr:colOff>871538</xdr:colOff>
      <xdr:row>14</xdr:row>
      <xdr:rowOff>61913</xdr:rowOff>
    </xdr:to>
    <xdr:sp macro="" textlink="">
      <xdr:nvSpPr>
        <xdr:cNvPr id="277" name="Rectangle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/>
      </xdr:nvSpPr>
      <xdr:spPr>
        <a:xfrm rot="5400000">
          <a:off x="1743075" y="47244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823913</xdr:colOff>
      <xdr:row>16</xdr:row>
      <xdr:rowOff>33337</xdr:rowOff>
    </xdr:from>
    <xdr:to>
      <xdr:col>5</xdr:col>
      <xdr:colOff>871538</xdr:colOff>
      <xdr:row>17</xdr:row>
      <xdr:rowOff>52388</xdr:rowOff>
    </xdr:to>
    <xdr:sp macro="" textlink="">
      <xdr:nvSpPr>
        <xdr:cNvPr id="278" name="Rectangle 27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/>
      </xdr:nvSpPr>
      <xdr:spPr>
        <a:xfrm rot="5400000">
          <a:off x="1743075" y="52863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1395413</xdr:colOff>
      <xdr:row>13</xdr:row>
      <xdr:rowOff>42862</xdr:rowOff>
    </xdr:from>
    <xdr:to>
      <xdr:col>5</xdr:col>
      <xdr:colOff>1443038</xdr:colOff>
      <xdr:row>14</xdr:row>
      <xdr:rowOff>61913</xdr:rowOff>
    </xdr:to>
    <xdr:sp macro="" textlink="">
      <xdr:nvSpPr>
        <xdr:cNvPr id="279" name="Rectangle 278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/>
      </xdr:nvSpPr>
      <xdr:spPr>
        <a:xfrm rot="5400000">
          <a:off x="2314575" y="47244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1395413</xdr:colOff>
      <xdr:row>16</xdr:row>
      <xdr:rowOff>33337</xdr:rowOff>
    </xdr:from>
    <xdr:to>
      <xdr:col>5</xdr:col>
      <xdr:colOff>1443038</xdr:colOff>
      <xdr:row>17</xdr:row>
      <xdr:rowOff>52388</xdr:rowOff>
    </xdr:to>
    <xdr:sp macro="" textlink="">
      <xdr:nvSpPr>
        <xdr:cNvPr id="280" name="Rectangle 27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/>
      </xdr:nvSpPr>
      <xdr:spPr>
        <a:xfrm rot="5400000">
          <a:off x="2314575" y="52863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223838</xdr:colOff>
      <xdr:row>13</xdr:row>
      <xdr:rowOff>42862</xdr:rowOff>
    </xdr:from>
    <xdr:to>
      <xdr:col>6</xdr:col>
      <xdr:colOff>271463</xdr:colOff>
      <xdr:row>14</xdr:row>
      <xdr:rowOff>61913</xdr:rowOff>
    </xdr:to>
    <xdr:sp macro="" textlink="">
      <xdr:nvSpPr>
        <xdr:cNvPr id="281" name="Rectangle 28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/>
      </xdr:nvSpPr>
      <xdr:spPr>
        <a:xfrm rot="5400000">
          <a:off x="2895600" y="47244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223838</xdr:colOff>
      <xdr:row>16</xdr:row>
      <xdr:rowOff>33337</xdr:rowOff>
    </xdr:from>
    <xdr:to>
      <xdr:col>6</xdr:col>
      <xdr:colOff>271463</xdr:colOff>
      <xdr:row>17</xdr:row>
      <xdr:rowOff>52388</xdr:rowOff>
    </xdr:to>
    <xdr:sp macro="" textlink="">
      <xdr:nvSpPr>
        <xdr:cNvPr id="282" name="Rectangle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/>
      </xdr:nvSpPr>
      <xdr:spPr>
        <a:xfrm rot="5400000">
          <a:off x="2895600" y="52863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795338</xdr:colOff>
      <xdr:row>13</xdr:row>
      <xdr:rowOff>52387</xdr:rowOff>
    </xdr:from>
    <xdr:to>
      <xdr:col>6</xdr:col>
      <xdr:colOff>842963</xdr:colOff>
      <xdr:row>14</xdr:row>
      <xdr:rowOff>71438</xdr:rowOff>
    </xdr:to>
    <xdr:sp macro="" textlink="">
      <xdr:nvSpPr>
        <xdr:cNvPr id="283" name="Rectangle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/>
      </xdr:nvSpPr>
      <xdr:spPr>
        <a:xfrm rot="5400000">
          <a:off x="3467100" y="47339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795338</xdr:colOff>
      <xdr:row>16</xdr:row>
      <xdr:rowOff>42862</xdr:rowOff>
    </xdr:from>
    <xdr:to>
      <xdr:col>6</xdr:col>
      <xdr:colOff>842963</xdr:colOff>
      <xdr:row>17</xdr:row>
      <xdr:rowOff>61913</xdr:rowOff>
    </xdr:to>
    <xdr:sp macro="" textlink="">
      <xdr:nvSpPr>
        <xdr:cNvPr id="284" name="Rectangle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/>
      </xdr:nvSpPr>
      <xdr:spPr>
        <a:xfrm rot="5400000">
          <a:off x="3467100" y="52959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461963</xdr:colOff>
      <xdr:row>13</xdr:row>
      <xdr:rowOff>52387</xdr:rowOff>
    </xdr:from>
    <xdr:to>
      <xdr:col>7</xdr:col>
      <xdr:colOff>509588</xdr:colOff>
      <xdr:row>14</xdr:row>
      <xdr:rowOff>71438</xdr:rowOff>
    </xdr:to>
    <xdr:sp macro="" textlink="">
      <xdr:nvSpPr>
        <xdr:cNvPr id="285" name="Rectangle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/>
      </xdr:nvSpPr>
      <xdr:spPr>
        <a:xfrm rot="5400000">
          <a:off x="4048125" y="47339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461963</xdr:colOff>
      <xdr:row>16</xdr:row>
      <xdr:rowOff>42862</xdr:rowOff>
    </xdr:from>
    <xdr:to>
      <xdr:col>7</xdr:col>
      <xdr:colOff>509588</xdr:colOff>
      <xdr:row>17</xdr:row>
      <xdr:rowOff>61913</xdr:rowOff>
    </xdr:to>
    <xdr:sp macro="" textlink="">
      <xdr:nvSpPr>
        <xdr:cNvPr id="286" name="Rectangle 28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/>
      </xdr:nvSpPr>
      <xdr:spPr>
        <a:xfrm rot="5400000">
          <a:off x="4048125" y="52959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671513</xdr:colOff>
      <xdr:row>13</xdr:row>
      <xdr:rowOff>52387</xdr:rowOff>
    </xdr:from>
    <xdr:to>
      <xdr:col>9</xdr:col>
      <xdr:colOff>719138</xdr:colOff>
      <xdr:row>14</xdr:row>
      <xdr:rowOff>71438</xdr:rowOff>
    </xdr:to>
    <xdr:sp macro="" textlink="">
      <xdr:nvSpPr>
        <xdr:cNvPr id="287" name="Rectangle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/>
      </xdr:nvSpPr>
      <xdr:spPr>
        <a:xfrm rot="5400000">
          <a:off x="5781675" y="47339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671513</xdr:colOff>
      <xdr:row>16</xdr:row>
      <xdr:rowOff>42862</xdr:rowOff>
    </xdr:from>
    <xdr:to>
      <xdr:col>9</xdr:col>
      <xdr:colOff>719138</xdr:colOff>
      <xdr:row>17</xdr:row>
      <xdr:rowOff>61913</xdr:rowOff>
    </xdr:to>
    <xdr:sp macro="" textlink="">
      <xdr:nvSpPr>
        <xdr:cNvPr id="288" name="Rectangle 2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/>
      </xdr:nvSpPr>
      <xdr:spPr>
        <a:xfrm rot="5400000">
          <a:off x="5781675" y="52959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490538</xdr:colOff>
      <xdr:row>13</xdr:row>
      <xdr:rowOff>52387</xdr:rowOff>
    </xdr:from>
    <xdr:to>
      <xdr:col>10</xdr:col>
      <xdr:colOff>538163</xdr:colOff>
      <xdr:row>14</xdr:row>
      <xdr:rowOff>71438</xdr:rowOff>
    </xdr:to>
    <xdr:sp macro="" textlink="">
      <xdr:nvSpPr>
        <xdr:cNvPr id="289" name="Rectangle 288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/>
      </xdr:nvSpPr>
      <xdr:spPr>
        <a:xfrm rot="5400000">
          <a:off x="6362700" y="47339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490538</xdr:colOff>
      <xdr:row>16</xdr:row>
      <xdr:rowOff>42862</xdr:rowOff>
    </xdr:from>
    <xdr:to>
      <xdr:col>10</xdr:col>
      <xdr:colOff>538163</xdr:colOff>
      <xdr:row>17</xdr:row>
      <xdr:rowOff>61913</xdr:rowOff>
    </xdr:to>
    <xdr:sp macro="" textlink="">
      <xdr:nvSpPr>
        <xdr:cNvPr id="290" name="Rectangle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/>
      </xdr:nvSpPr>
      <xdr:spPr>
        <a:xfrm rot="5400000">
          <a:off x="6362700" y="52959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233363</xdr:colOff>
      <xdr:row>19</xdr:row>
      <xdr:rowOff>61912</xdr:rowOff>
    </xdr:from>
    <xdr:to>
      <xdr:col>5</xdr:col>
      <xdr:colOff>280988</xdr:colOff>
      <xdr:row>20</xdr:row>
      <xdr:rowOff>80963</xdr:rowOff>
    </xdr:to>
    <xdr:sp macro="" textlink="">
      <xdr:nvSpPr>
        <xdr:cNvPr id="291" name="Rectangle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/>
      </xdr:nvSpPr>
      <xdr:spPr>
        <a:xfrm rot="5400000">
          <a:off x="1152525" y="58864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814388</xdr:colOff>
      <xdr:row>19</xdr:row>
      <xdr:rowOff>61912</xdr:rowOff>
    </xdr:from>
    <xdr:to>
      <xdr:col>5</xdr:col>
      <xdr:colOff>862013</xdr:colOff>
      <xdr:row>20</xdr:row>
      <xdr:rowOff>80963</xdr:rowOff>
    </xdr:to>
    <xdr:sp macro="" textlink="">
      <xdr:nvSpPr>
        <xdr:cNvPr id="292" name="Rectangle 29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/>
      </xdr:nvSpPr>
      <xdr:spPr>
        <a:xfrm rot="5400000">
          <a:off x="1733550" y="58864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1385888</xdr:colOff>
      <xdr:row>19</xdr:row>
      <xdr:rowOff>61912</xdr:rowOff>
    </xdr:from>
    <xdr:to>
      <xdr:col>5</xdr:col>
      <xdr:colOff>1433513</xdr:colOff>
      <xdr:row>20</xdr:row>
      <xdr:rowOff>80963</xdr:rowOff>
    </xdr:to>
    <xdr:sp macro="" textlink="">
      <xdr:nvSpPr>
        <xdr:cNvPr id="293" name="Rectangle 29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/>
      </xdr:nvSpPr>
      <xdr:spPr>
        <a:xfrm rot="5400000">
          <a:off x="2305050" y="58864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214313</xdr:colOff>
      <xdr:row>19</xdr:row>
      <xdr:rowOff>61912</xdr:rowOff>
    </xdr:from>
    <xdr:to>
      <xdr:col>6</xdr:col>
      <xdr:colOff>261938</xdr:colOff>
      <xdr:row>20</xdr:row>
      <xdr:rowOff>80963</xdr:rowOff>
    </xdr:to>
    <xdr:sp macro="" textlink="">
      <xdr:nvSpPr>
        <xdr:cNvPr id="294" name="Rectangle 29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/>
      </xdr:nvSpPr>
      <xdr:spPr>
        <a:xfrm rot="5400000">
          <a:off x="2886075" y="58864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785813</xdr:colOff>
      <xdr:row>19</xdr:row>
      <xdr:rowOff>71437</xdr:rowOff>
    </xdr:from>
    <xdr:to>
      <xdr:col>6</xdr:col>
      <xdr:colOff>833438</xdr:colOff>
      <xdr:row>20</xdr:row>
      <xdr:rowOff>90488</xdr:rowOff>
    </xdr:to>
    <xdr:sp macro="" textlink="">
      <xdr:nvSpPr>
        <xdr:cNvPr id="295" name="Rectangle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/>
      </xdr:nvSpPr>
      <xdr:spPr>
        <a:xfrm rot="5400000">
          <a:off x="3457575" y="58959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452438</xdr:colOff>
      <xdr:row>19</xdr:row>
      <xdr:rowOff>71437</xdr:rowOff>
    </xdr:from>
    <xdr:to>
      <xdr:col>7</xdr:col>
      <xdr:colOff>500063</xdr:colOff>
      <xdr:row>20</xdr:row>
      <xdr:rowOff>90488</xdr:rowOff>
    </xdr:to>
    <xdr:sp macro="" textlink="">
      <xdr:nvSpPr>
        <xdr:cNvPr id="296" name="Rectangle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/>
      </xdr:nvSpPr>
      <xdr:spPr>
        <a:xfrm rot="5400000">
          <a:off x="4038600" y="58959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661988</xdr:colOff>
      <xdr:row>19</xdr:row>
      <xdr:rowOff>71437</xdr:rowOff>
    </xdr:from>
    <xdr:to>
      <xdr:col>9</xdr:col>
      <xdr:colOff>709613</xdr:colOff>
      <xdr:row>20</xdr:row>
      <xdr:rowOff>90488</xdr:rowOff>
    </xdr:to>
    <xdr:sp macro="" textlink="">
      <xdr:nvSpPr>
        <xdr:cNvPr id="297" name="Rectangle 29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/>
      </xdr:nvSpPr>
      <xdr:spPr>
        <a:xfrm rot="5400000">
          <a:off x="5772150" y="58959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481013</xdr:colOff>
      <xdr:row>19</xdr:row>
      <xdr:rowOff>71437</xdr:rowOff>
    </xdr:from>
    <xdr:to>
      <xdr:col>10</xdr:col>
      <xdr:colOff>528638</xdr:colOff>
      <xdr:row>20</xdr:row>
      <xdr:rowOff>90488</xdr:rowOff>
    </xdr:to>
    <xdr:sp macro="" textlink="">
      <xdr:nvSpPr>
        <xdr:cNvPr id="298" name="Rectangle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/>
      </xdr:nvSpPr>
      <xdr:spPr>
        <a:xfrm rot="5400000">
          <a:off x="6353175" y="58959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242888</xdr:colOff>
      <xdr:row>22</xdr:row>
      <xdr:rowOff>52387</xdr:rowOff>
    </xdr:from>
    <xdr:to>
      <xdr:col>5</xdr:col>
      <xdr:colOff>290513</xdr:colOff>
      <xdr:row>23</xdr:row>
      <xdr:rowOff>71438</xdr:rowOff>
    </xdr:to>
    <xdr:sp macro="" textlink="">
      <xdr:nvSpPr>
        <xdr:cNvPr id="299" name="Rectangle 29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/>
      </xdr:nvSpPr>
      <xdr:spPr>
        <a:xfrm rot="5400000">
          <a:off x="1162050" y="644842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823913</xdr:colOff>
      <xdr:row>22</xdr:row>
      <xdr:rowOff>52387</xdr:rowOff>
    </xdr:from>
    <xdr:to>
      <xdr:col>5</xdr:col>
      <xdr:colOff>871538</xdr:colOff>
      <xdr:row>23</xdr:row>
      <xdr:rowOff>71438</xdr:rowOff>
    </xdr:to>
    <xdr:sp macro="" textlink="">
      <xdr:nvSpPr>
        <xdr:cNvPr id="300" name="Rectangle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/>
      </xdr:nvSpPr>
      <xdr:spPr>
        <a:xfrm rot="5400000">
          <a:off x="1743075" y="644842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1395413</xdr:colOff>
      <xdr:row>22</xdr:row>
      <xdr:rowOff>52387</xdr:rowOff>
    </xdr:from>
    <xdr:to>
      <xdr:col>5</xdr:col>
      <xdr:colOff>1443038</xdr:colOff>
      <xdr:row>23</xdr:row>
      <xdr:rowOff>71438</xdr:rowOff>
    </xdr:to>
    <xdr:sp macro="" textlink="">
      <xdr:nvSpPr>
        <xdr:cNvPr id="301" name="Rectangle 30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/>
      </xdr:nvSpPr>
      <xdr:spPr>
        <a:xfrm rot="5400000">
          <a:off x="2314575" y="644842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223838</xdr:colOff>
      <xdr:row>22</xdr:row>
      <xdr:rowOff>52387</xdr:rowOff>
    </xdr:from>
    <xdr:to>
      <xdr:col>6</xdr:col>
      <xdr:colOff>271463</xdr:colOff>
      <xdr:row>23</xdr:row>
      <xdr:rowOff>71438</xdr:rowOff>
    </xdr:to>
    <xdr:sp macro="" textlink="">
      <xdr:nvSpPr>
        <xdr:cNvPr id="302" name="Rectangle 30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/>
      </xdr:nvSpPr>
      <xdr:spPr>
        <a:xfrm rot="5400000">
          <a:off x="2895600" y="644842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795338</xdr:colOff>
      <xdr:row>22</xdr:row>
      <xdr:rowOff>61912</xdr:rowOff>
    </xdr:from>
    <xdr:to>
      <xdr:col>6</xdr:col>
      <xdr:colOff>842963</xdr:colOff>
      <xdr:row>23</xdr:row>
      <xdr:rowOff>80963</xdr:rowOff>
    </xdr:to>
    <xdr:sp macro="" textlink="">
      <xdr:nvSpPr>
        <xdr:cNvPr id="303" name="Rectangle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/>
      </xdr:nvSpPr>
      <xdr:spPr>
        <a:xfrm rot="5400000">
          <a:off x="3467100" y="64579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461963</xdr:colOff>
      <xdr:row>22</xdr:row>
      <xdr:rowOff>61912</xdr:rowOff>
    </xdr:from>
    <xdr:to>
      <xdr:col>7</xdr:col>
      <xdr:colOff>509588</xdr:colOff>
      <xdr:row>23</xdr:row>
      <xdr:rowOff>80963</xdr:rowOff>
    </xdr:to>
    <xdr:sp macro="" textlink="">
      <xdr:nvSpPr>
        <xdr:cNvPr id="304" name="Rectangle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/>
      </xdr:nvSpPr>
      <xdr:spPr>
        <a:xfrm rot="5400000">
          <a:off x="4048125" y="64579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671513</xdr:colOff>
      <xdr:row>22</xdr:row>
      <xdr:rowOff>61912</xdr:rowOff>
    </xdr:from>
    <xdr:to>
      <xdr:col>9</xdr:col>
      <xdr:colOff>719138</xdr:colOff>
      <xdr:row>23</xdr:row>
      <xdr:rowOff>80963</xdr:rowOff>
    </xdr:to>
    <xdr:sp macro="" textlink="">
      <xdr:nvSpPr>
        <xdr:cNvPr id="305" name="Rectangle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/>
      </xdr:nvSpPr>
      <xdr:spPr>
        <a:xfrm rot="5400000">
          <a:off x="5781675" y="64579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490538</xdr:colOff>
      <xdr:row>22</xdr:row>
      <xdr:rowOff>61912</xdr:rowOff>
    </xdr:from>
    <xdr:to>
      <xdr:col>10</xdr:col>
      <xdr:colOff>538163</xdr:colOff>
      <xdr:row>23</xdr:row>
      <xdr:rowOff>80963</xdr:rowOff>
    </xdr:to>
    <xdr:sp macro="" textlink="">
      <xdr:nvSpPr>
        <xdr:cNvPr id="306" name="Rectangle 30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/>
      </xdr:nvSpPr>
      <xdr:spPr>
        <a:xfrm rot="5400000">
          <a:off x="6362700" y="64579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209550</xdr:colOff>
      <xdr:row>23</xdr:row>
      <xdr:rowOff>161925</xdr:rowOff>
    </xdr:from>
    <xdr:to>
      <xdr:col>6</xdr:col>
      <xdr:colOff>781050</xdr:colOff>
      <xdr:row>23</xdr:row>
      <xdr:rowOff>161925</xdr:rowOff>
    </xdr:to>
    <xdr:cxnSp macro="">
      <xdr:nvCxnSpPr>
        <xdr:cNvPr id="308" name="Connecteur droit avec flèche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CxnSpPr/>
      </xdr:nvCxnSpPr>
      <xdr:spPr>
        <a:xfrm flipH="1">
          <a:off x="3028950" y="6667500"/>
          <a:ext cx="571500" cy="0"/>
        </a:xfrm>
        <a:prstGeom prst="straightConnector1">
          <a:avLst/>
        </a:prstGeom>
        <a:ln>
          <a:solidFill>
            <a:srgbClr val="F070D8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240251</xdr:colOff>
      <xdr:row>23</xdr:row>
      <xdr:rowOff>110596</xdr:rowOff>
    </xdr:from>
    <xdr:to>
      <xdr:col>10</xdr:col>
      <xdr:colOff>493184</xdr:colOff>
      <xdr:row>26</xdr:row>
      <xdr:rowOff>96308</xdr:rowOff>
    </xdr:to>
    <xdr:cxnSp macro="">
      <xdr:nvCxnSpPr>
        <xdr:cNvPr id="96" name="Connecteur droit avec flèche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CxnSpPr/>
      </xdr:nvCxnSpPr>
      <xdr:spPr>
        <a:xfrm flipV="1">
          <a:off x="9775834" y="4513263"/>
          <a:ext cx="252933" cy="55721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9</xdr:col>
      <xdr:colOff>719668</xdr:colOff>
      <xdr:row>23</xdr:row>
      <xdr:rowOff>95250</xdr:rowOff>
    </xdr:from>
    <xdr:to>
      <xdr:col>10</xdr:col>
      <xdr:colOff>265114</xdr:colOff>
      <xdr:row>26</xdr:row>
      <xdr:rowOff>67733</xdr:rowOff>
    </xdr:to>
    <xdr:cxnSp macro="">
      <xdr:nvCxnSpPr>
        <xdr:cNvPr id="99" name="Connecteur droit avec flèche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>
          <a:stCxn id="5" idx="0"/>
        </xdr:cNvCxnSpPr>
      </xdr:nvCxnSpPr>
      <xdr:spPr>
        <a:xfrm flipH="1" flipV="1">
          <a:off x="9493251" y="4497917"/>
          <a:ext cx="307446" cy="543983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9</xdr:col>
      <xdr:colOff>752476</xdr:colOff>
      <xdr:row>10</xdr:row>
      <xdr:rowOff>85725</xdr:rowOff>
    </xdr:from>
    <xdr:to>
      <xdr:col>11</xdr:col>
      <xdr:colOff>504825</xdr:colOff>
      <xdr:row>13</xdr:row>
      <xdr:rowOff>76200</xdr:rowOff>
    </xdr:to>
    <xdr:cxnSp macro="">
      <xdr:nvCxnSpPr>
        <xdr:cNvPr id="108" name="Connecteur droit avec flèch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 flipH="1">
          <a:off x="9534526" y="2000250"/>
          <a:ext cx="1276349" cy="571500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10</xdr:col>
      <xdr:colOff>571503</xdr:colOff>
      <xdr:row>10</xdr:row>
      <xdr:rowOff>66675</xdr:rowOff>
    </xdr:from>
    <xdr:to>
      <xdr:col>11</xdr:col>
      <xdr:colOff>533400</xdr:colOff>
      <xdr:row>13</xdr:row>
      <xdr:rowOff>95250</xdr:rowOff>
    </xdr:to>
    <xdr:cxnSp macro="">
      <xdr:nvCxnSpPr>
        <xdr:cNvPr id="111" name="Connecteur droit avec flèche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CxnSpPr/>
      </xdr:nvCxnSpPr>
      <xdr:spPr>
        <a:xfrm flipH="1">
          <a:off x="10115553" y="1981200"/>
          <a:ext cx="723897" cy="609600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1</xdr:col>
      <xdr:colOff>600074</xdr:colOff>
      <xdr:row>16</xdr:row>
      <xdr:rowOff>152399</xdr:rowOff>
    </xdr:from>
    <xdr:to>
      <xdr:col>2</xdr:col>
      <xdr:colOff>819149</xdr:colOff>
      <xdr:row>21</xdr:row>
      <xdr:rowOff>9525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142999" y="3219449"/>
          <a:ext cx="1971675" cy="809626"/>
        </a:xfrm>
        <a:prstGeom prst="rect">
          <a:avLst/>
        </a:prstGeom>
        <a:solidFill>
          <a:schemeClr val="lt1"/>
        </a:solidFill>
        <a:ln w="2857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300" b="1" i="1" u="sng"/>
            <a:t>Remarque : </a:t>
          </a:r>
        </a:p>
        <a:p>
          <a:r>
            <a:rPr lang="fr-FR" sz="1100"/>
            <a:t>L'emplacement des rails</a:t>
          </a:r>
          <a:r>
            <a:rPr lang="fr-FR" sz="1100" baseline="0"/>
            <a:t> peut varier selon le positionnement des modules.</a:t>
          </a:r>
          <a:endParaRPr lang="fr-FR" sz="1100"/>
        </a:p>
      </xdr:txBody>
    </xdr:sp>
    <xdr:clientData/>
  </xdr:twoCellAnchor>
  <xdr:twoCellAnchor>
    <xdr:from>
      <xdr:col>11</xdr:col>
      <xdr:colOff>525236</xdr:colOff>
      <xdr:row>8</xdr:row>
      <xdr:rowOff>180971</xdr:rowOff>
    </xdr:from>
    <xdr:to>
      <xdr:col>13</xdr:col>
      <xdr:colOff>201084</xdr:colOff>
      <xdr:row>12</xdr:row>
      <xdr:rowOff>74082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0822819" y="1715554"/>
          <a:ext cx="1199848" cy="665695"/>
        </a:xfrm>
        <a:prstGeom prst="rect">
          <a:avLst/>
        </a:prstGeom>
        <a:solidFill>
          <a:schemeClr val="lt1"/>
        </a:solidFill>
        <a:ln w="2857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/>
            <a:t>Emplacement</a:t>
          </a:r>
          <a:r>
            <a:rPr lang="fr-FR" sz="1200" b="1" baseline="0"/>
            <a:t> des rails et des brides centrales</a:t>
          </a:r>
          <a:endParaRPr lang="fr-FR" sz="1200" b="1"/>
        </a:p>
      </xdr:txBody>
    </xdr:sp>
    <xdr:clientData/>
  </xdr:twoCellAnchor>
  <xdr:twoCellAnchor>
    <xdr:from>
      <xdr:col>9</xdr:col>
      <xdr:colOff>424393</xdr:colOff>
      <xdr:row>26</xdr:row>
      <xdr:rowOff>67733</xdr:rowOff>
    </xdr:from>
    <xdr:to>
      <xdr:col>11</xdr:col>
      <xdr:colOff>105834</xdr:colOff>
      <xdr:row>29</xdr:row>
      <xdr:rowOff>158750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9197976" y="5041900"/>
          <a:ext cx="1205441" cy="662517"/>
        </a:xfrm>
        <a:prstGeom prst="rect">
          <a:avLst/>
        </a:prstGeom>
        <a:solidFill>
          <a:schemeClr val="lt1"/>
        </a:solidFill>
        <a:ln w="2857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/>
            <a:t>Emplacement des rails et des brides latérales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156483</xdr:colOff>
      <xdr:row>2</xdr:row>
      <xdr:rowOff>132670</xdr:rowOff>
    </xdr:from>
    <xdr:ext cx="6932838" cy="7287488"/>
    <xdr:pic>
      <xdr:nvPicPr>
        <xdr:cNvPr id="2" name="Image 1">
          <a:extLst>
            <a:ext uri="{FF2B5EF4-FFF2-40B4-BE49-F238E27FC236}">
              <a16:creationId xmlns:a16="http://schemas.microsoft.com/office/drawing/2014/main" id="{E4F39D1E-129F-4AC1-A8E5-081C1F11E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483" y="772206"/>
          <a:ext cx="6932838" cy="7287488"/>
        </a:xfrm>
        <a:prstGeom prst="rect">
          <a:avLst/>
        </a:prstGeom>
      </xdr:spPr>
    </xdr:pic>
    <xdr:clientData/>
  </xdr:oneCellAnchor>
  <xdr:oneCellAnchor>
    <xdr:from>
      <xdr:col>12</xdr:col>
      <xdr:colOff>119063</xdr:colOff>
      <xdr:row>20</xdr:row>
      <xdr:rowOff>119061</xdr:rowOff>
    </xdr:from>
    <xdr:ext cx="7047619" cy="6533333"/>
    <xdr:pic>
      <xdr:nvPicPr>
        <xdr:cNvPr id="3" name="Image 2">
          <a:extLst>
            <a:ext uri="{FF2B5EF4-FFF2-40B4-BE49-F238E27FC236}">
              <a16:creationId xmlns:a16="http://schemas.microsoft.com/office/drawing/2014/main" id="{B447AAE6-D91E-4D0F-9220-B42E897D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2813" y="4329111"/>
          <a:ext cx="7047619" cy="6533333"/>
        </a:xfrm>
        <a:prstGeom prst="rect">
          <a:avLst/>
        </a:prstGeom>
      </xdr:spPr>
    </xdr:pic>
    <xdr:clientData/>
  </xdr:oneCellAnchor>
  <xdr:oneCellAnchor>
    <xdr:from>
      <xdr:col>12</xdr:col>
      <xdr:colOff>35719</xdr:colOff>
      <xdr:row>2</xdr:row>
      <xdr:rowOff>107156</xdr:rowOff>
    </xdr:from>
    <xdr:ext cx="7161905" cy="3247619"/>
    <xdr:pic>
      <xdr:nvPicPr>
        <xdr:cNvPr id="4" name="Image 3">
          <a:extLst>
            <a:ext uri="{FF2B5EF4-FFF2-40B4-BE49-F238E27FC236}">
              <a16:creationId xmlns:a16="http://schemas.microsoft.com/office/drawing/2014/main" id="{BF6DD769-C204-49F4-8D65-B6CBF1574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9469" y="878681"/>
          <a:ext cx="7161905" cy="324761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9525</xdr:rowOff>
    </xdr:from>
    <xdr:to>
      <xdr:col>6</xdr:col>
      <xdr:colOff>561975</xdr:colOff>
      <xdr:row>8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591050" y="58102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...</a:t>
          </a:r>
        </a:p>
        <a:p>
          <a:pPr algn="ctr"/>
          <a:endParaRPr lang="fr-FR" sz="1100"/>
        </a:p>
      </xdr:txBody>
    </xdr:sp>
    <xdr:clientData/>
  </xdr:twoCellAnchor>
  <xdr:twoCellAnchor>
    <xdr:from>
      <xdr:col>6</xdr:col>
      <xdr:colOff>19050</xdr:colOff>
      <xdr:row>12</xdr:row>
      <xdr:rowOff>0</xdr:rowOff>
    </xdr:from>
    <xdr:to>
      <xdr:col>6</xdr:col>
      <xdr:colOff>561975</xdr:colOff>
      <xdr:row>17</xdr:row>
      <xdr:rowOff>133350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591050" y="228600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2</a:t>
          </a:r>
        </a:p>
      </xdr:txBody>
    </xdr:sp>
    <xdr:clientData/>
  </xdr:twoCellAnchor>
  <xdr:twoCellAnchor>
    <xdr:from>
      <xdr:col>6</xdr:col>
      <xdr:colOff>19050</xdr:colOff>
      <xdr:row>18</xdr:row>
      <xdr:rowOff>19050</xdr:rowOff>
    </xdr:from>
    <xdr:to>
      <xdr:col>6</xdr:col>
      <xdr:colOff>561975</xdr:colOff>
      <xdr:row>23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591050" y="344805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1</a:t>
          </a:r>
        </a:p>
      </xdr:txBody>
    </xdr:sp>
    <xdr:clientData/>
  </xdr:twoCellAnchor>
  <xdr:twoCellAnchor>
    <xdr:from>
      <xdr:col>6</xdr:col>
      <xdr:colOff>638175</xdr:colOff>
      <xdr:row>18</xdr:row>
      <xdr:rowOff>19050</xdr:rowOff>
    </xdr:from>
    <xdr:to>
      <xdr:col>6</xdr:col>
      <xdr:colOff>1181100</xdr:colOff>
      <xdr:row>23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5210175" y="3448050"/>
          <a:ext cx="1238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2</a:t>
          </a:r>
        </a:p>
      </xdr:txBody>
    </xdr:sp>
    <xdr:clientData/>
  </xdr:twoCellAnchor>
  <xdr:twoCellAnchor>
    <xdr:from>
      <xdr:col>6</xdr:col>
      <xdr:colOff>271463</xdr:colOff>
      <xdr:row>8</xdr:row>
      <xdr:rowOff>142875</xdr:rowOff>
    </xdr:from>
    <xdr:to>
      <xdr:col>6</xdr:col>
      <xdr:colOff>271463</xdr:colOff>
      <xdr:row>12</xdr:row>
      <xdr:rowOff>0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4843463" y="1666875"/>
          <a:ext cx="0" cy="61912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1266825</xdr:colOff>
      <xdr:row>18</xdr:row>
      <xdr:rowOff>19050</xdr:rowOff>
    </xdr:from>
    <xdr:to>
      <xdr:col>7</xdr:col>
      <xdr:colOff>57150</xdr:colOff>
      <xdr:row>23</xdr:row>
      <xdr:rowOff>152400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334000" y="3448050"/>
          <a:ext cx="57150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3</a:t>
          </a:r>
        </a:p>
      </xdr:txBody>
    </xdr:sp>
    <xdr:clientData/>
  </xdr:twoCellAnchor>
  <xdr:twoCellAnchor>
    <xdr:from>
      <xdr:col>7</xdr:col>
      <xdr:colOff>142875</xdr:colOff>
      <xdr:row>18</xdr:row>
      <xdr:rowOff>19050</xdr:rowOff>
    </xdr:from>
    <xdr:to>
      <xdr:col>7</xdr:col>
      <xdr:colOff>685800</xdr:colOff>
      <xdr:row>23</xdr:row>
      <xdr:rowOff>152400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476875" y="344805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4</a:t>
          </a:r>
        </a:p>
      </xdr:txBody>
    </xdr:sp>
    <xdr:clientData/>
  </xdr:twoCellAnchor>
  <xdr:twoCellAnchor>
    <xdr:from>
      <xdr:col>9</xdr:col>
      <xdr:colOff>28575</xdr:colOff>
      <xdr:row>18</xdr:row>
      <xdr:rowOff>19050</xdr:rowOff>
    </xdr:from>
    <xdr:to>
      <xdr:col>9</xdr:col>
      <xdr:colOff>571500</xdr:colOff>
      <xdr:row>23</xdr:row>
      <xdr:rowOff>152400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6886575" y="344805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...</a:t>
          </a:r>
        </a:p>
      </xdr:txBody>
    </xdr:sp>
    <xdr:clientData/>
  </xdr:twoCellAnchor>
  <xdr:twoCellAnchor>
    <xdr:from>
      <xdr:col>9</xdr:col>
      <xdr:colOff>638175</xdr:colOff>
      <xdr:row>18</xdr:row>
      <xdr:rowOff>19050</xdr:rowOff>
    </xdr:from>
    <xdr:to>
      <xdr:col>10</xdr:col>
      <xdr:colOff>419100</xdr:colOff>
      <xdr:row>23</xdr:row>
      <xdr:rowOff>152400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496175" y="344805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...</a:t>
          </a:r>
        </a:p>
      </xdr:txBody>
    </xdr:sp>
    <xdr:clientData/>
  </xdr:twoCellAnchor>
  <xdr:twoCellAnchor>
    <xdr:from>
      <xdr:col>7</xdr:col>
      <xdr:colOff>685800</xdr:colOff>
      <xdr:row>20</xdr:row>
      <xdr:rowOff>180975</xdr:rowOff>
    </xdr:from>
    <xdr:to>
      <xdr:col>9</xdr:col>
      <xdr:colOff>28575</xdr:colOff>
      <xdr:row>20</xdr:row>
      <xdr:rowOff>180975</xdr:rowOff>
    </xdr:to>
    <xdr:cxnSp macro="">
      <xdr:nvCxnSpPr>
        <xdr:cNvPr id="11" name="Connecteur droi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>
          <a:stCxn id="8" idx="3"/>
          <a:endCxn id="9" idx="1"/>
        </xdr:cNvCxnSpPr>
      </xdr:nvCxnSpPr>
      <xdr:spPr>
        <a:xfrm>
          <a:off x="6019800" y="3990975"/>
          <a:ext cx="866775" cy="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628650</xdr:colOff>
      <xdr:row>12</xdr:row>
      <xdr:rowOff>9525</xdr:rowOff>
    </xdr:from>
    <xdr:to>
      <xdr:col>6</xdr:col>
      <xdr:colOff>1171575</xdr:colOff>
      <xdr:row>17</xdr:row>
      <xdr:rowOff>142875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5200650" y="2295525"/>
          <a:ext cx="133350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1266825</xdr:colOff>
      <xdr:row>12</xdr:row>
      <xdr:rowOff>0</xdr:rowOff>
    </xdr:from>
    <xdr:to>
      <xdr:col>7</xdr:col>
      <xdr:colOff>57150</xdr:colOff>
      <xdr:row>17</xdr:row>
      <xdr:rowOff>133350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334000" y="2286000"/>
          <a:ext cx="57150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142875</xdr:colOff>
      <xdr:row>12</xdr:row>
      <xdr:rowOff>9525</xdr:rowOff>
    </xdr:from>
    <xdr:to>
      <xdr:col>7</xdr:col>
      <xdr:colOff>685800</xdr:colOff>
      <xdr:row>17</xdr:row>
      <xdr:rowOff>142875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476875" y="229552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28575</xdr:colOff>
      <xdr:row>12</xdr:row>
      <xdr:rowOff>9525</xdr:rowOff>
    </xdr:from>
    <xdr:to>
      <xdr:col>9</xdr:col>
      <xdr:colOff>571500</xdr:colOff>
      <xdr:row>17</xdr:row>
      <xdr:rowOff>142875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6886575" y="229552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647700</xdr:colOff>
      <xdr:row>12</xdr:row>
      <xdr:rowOff>9525</xdr:rowOff>
    </xdr:from>
    <xdr:to>
      <xdr:col>10</xdr:col>
      <xdr:colOff>428625</xdr:colOff>
      <xdr:row>17</xdr:row>
      <xdr:rowOff>142875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7505700" y="229552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638175</xdr:colOff>
      <xdr:row>3</xdr:row>
      <xdr:rowOff>19050</xdr:rowOff>
    </xdr:from>
    <xdr:to>
      <xdr:col>6</xdr:col>
      <xdr:colOff>1181100</xdr:colOff>
      <xdr:row>8</xdr:row>
      <xdr:rowOff>152400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210175" y="590550"/>
          <a:ext cx="1238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  <a:p>
          <a:pPr algn="ctr"/>
          <a:endParaRPr lang="fr-FR" sz="1100"/>
        </a:p>
      </xdr:txBody>
    </xdr:sp>
    <xdr:clientData/>
  </xdr:twoCellAnchor>
  <xdr:twoCellAnchor>
    <xdr:from>
      <xdr:col>6</xdr:col>
      <xdr:colOff>1257300</xdr:colOff>
      <xdr:row>3</xdr:row>
      <xdr:rowOff>9525</xdr:rowOff>
    </xdr:from>
    <xdr:to>
      <xdr:col>7</xdr:col>
      <xdr:colOff>47625</xdr:colOff>
      <xdr:row>8</xdr:row>
      <xdr:rowOff>142875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5334000" y="581025"/>
          <a:ext cx="476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  <a:p>
          <a:pPr algn="ctr"/>
          <a:endParaRPr lang="fr-FR" sz="1100"/>
        </a:p>
      </xdr:txBody>
    </xdr:sp>
    <xdr:clientData/>
  </xdr:twoCellAnchor>
  <xdr:twoCellAnchor>
    <xdr:from>
      <xdr:col>7</xdr:col>
      <xdr:colOff>142875</xdr:colOff>
      <xdr:row>3</xdr:row>
      <xdr:rowOff>19050</xdr:rowOff>
    </xdr:from>
    <xdr:to>
      <xdr:col>7</xdr:col>
      <xdr:colOff>685800</xdr:colOff>
      <xdr:row>8</xdr:row>
      <xdr:rowOff>152400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5476875" y="59055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  <a:p>
          <a:pPr algn="ctr"/>
          <a:endParaRPr lang="fr-FR" sz="1100"/>
        </a:p>
      </xdr:txBody>
    </xdr:sp>
    <xdr:clientData/>
  </xdr:twoCellAnchor>
  <xdr:twoCellAnchor>
    <xdr:from>
      <xdr:col>9</xdr:col>
      <xdr:colOff>28575</xdr:colOff>
      <xdr:row>3</xdr:row>
      <xdr:rowOff>0</xdr:rowOff>
    </xdr:from>
    <xdr:to>
      <xdr:col>9</xdr:col>
      <xdr:colOff>571500</xdr:colOff>
      <xdr:row>8</xdr:row>
      <xdr:rowOff>133350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6886575" y="571500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  <a:p>
          <a:pPr algn="ctr"/>
          <a:endParaRPr lang="fr-FR" sz="1100"/>
        </a:p>
      </xdr:txBody>
    </xdr:sp>
    <xdr:clientData/>
  </xdr:twoCellAnchor>
  <xdr:twoCellAnchor>
    <xdr:from>
      <xdr:col>9</xdr:col>
      <xdr:colOff>647700</xdr:colOff>
      <xdr:row>3</xdr:row>
      <xdr:rowOff>9525</xdr:rowOff>
    </xdr:from>
    <xdr:to>
      <xdr:col>10</xdr:col>
      <xdr:colOff>428625</xdr:colOff>
      <xdr:row>8</xdr:row>
      <xdr:rowOff>142875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7505700" y="581025"/>
          <a:ext cx="54292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  <a:p>
          <a:pPr algn="ctr"/>
          <a:endParaRPr lang="fr-FR" sz="1100"/>
        </a:p>
      </xdr:txBody>
    </xdr:sp>
    <xdr:clientData/>
  </xdr:twoCellAnchor>
  <xdr:twoCellAnchor>
    <xdr:from>
      <xdr:col>7</xdr:col>
      <xdr:colOff>685800</xdr:colOff>
      <xdr:row>14</xdr:row>
      <xdr:rowOff>180975</xdr:rowOff>
    </xdr:from>
    <xdr:to>
      <xdr:col>9</xdr:col>
      <xdr:colOff>28575</xdr:colOff>
      <xdr:row>14</xdr:row>
      <xdr:rowOff>180975</xdr:rowOff>
    </xdr:to>
    <xdr:cxnSp macro="">
      <xdr:nvCxnSpPr>
        <xdr:cNvPr id="22" name="Connecteur droit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/>
      </xdr:nvCxnSpPr>
      <xdr:spPr>
        <a:xfrm>
          <a:off x="6019800" y="2847975"/>
          <a:ext cx="866775" cy="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666750</xdr:colOff>
      <xdr:row>5</xdr:row>
      <xdr:rowOff>171450</xdr:rowOff>
    </xdr:from>
    <xdr:to>
      <xdr:col>9</xdr:col>
      <xdr:colOff>9525</xdr:colOff>
      <xdr:row>5</xdr:row>
      <xdr:rowOff>171450</xdr:rowOff>
    </xdr:to>
    <xdr:cxnSp macro="">
      <xdr:nvCxnSpPr>
        <xdr:cNvPr id="23" name="Connecteur droit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6000750" y="1123950"/>
          <a:ext cx="866775" cy="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885825</xdr:colOff>
      <xdr:row>8</xdr:row>
      <xdr:rowOff>161925</xdr:rowOff>
    </xdr:from>
    <xdr:to>
      <xdr:col>6</xdr:col>
      <xdr:colOff>885825</xdr:colOff>
      <xdr:row>12</xdr:row>
      <xdr:rowOff>19050</xdr:rowOff>
    </xdr:to>
    <xdr:cxnSp macro="">
      <xdr:nvCxnSpPr>
        <xdr:cNvPr id="24" name="Connecteur droit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CxnSpPr/>
      </xdr:nvCxnSpPr>
      <xdr:spPr>
        <a:xfrm>
          <a:off x="5334000" y="1685925"/>
          <a:ext cx="0" cy="61912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1533525</xdr:colOff>
      <xdr:row>8</xdr:row>
      <xdr:rowOff>133350</xdr:rowOff>
    </xdr:from>
    <xdr:to>
      <xdr:col>6</xdr:col>
      <xdr:colOff>1533525</xdr:colOff>
      <xdr:row>11</xdr:row>
      <xdr:rowOff>180975</xdr:rowOff>
    </xdr:to>
    <xdr:cxnSp macro="">
      <xdr:nvCxnSpPr>
        <xdr:cNvPr id="25" name="Connecteur droit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>
          <a:off x="5334000" y="1657350"/>
          <a:ext cx="0" cy="61912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371475</xdr:colOff>
      <xdr:row>8</xdr:row>
      <xdr:rowOff>152400</xdr:rowOff>
    </xdr:from>
    <xdr:to>
      <xdr:col>7</xdr:col>
      <xdr:colOff>371475</xdr:colOff>
      <xdr:row>12</xdr:row>
      <xdr:rowOff>9525</xdr:rowOff>
    </xdr:to>
    <xdr:cxnSp macro="">
      <xdr:nvCxnSpPr>
        <xdr:cNvPr id="26" name="Connecteur droit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CxnSpPr/>
      </xdr:nvCxnSpPr>
      <xdr:spPr>
        <a:xfrm>
          <a:off x="5705475" y="1676400"/>
          <a:ext cx="0" cy="61912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304800</xdr:colOff>
      <xdr:row>8</xdr:row>
      <xdr:rowOff>161925</xdr:rowOff>
    </xdr:from>
    <xdr:to>
      <xdr:col>9</xdr:col>
      <xdr:colOff>304800</xdr:colOff>
      <xdr:row>12</xdr:row>
      <xdr:rowOff>19050</xdr:rowOff>
    </xdr:to>
    <xdr:cxnSp macro="">
      <xdr:nvCxnSpPr>
        <xdr:cNvPr id="27" name="Connecteur droit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7162800" y="1685925"/>
          <a:ext cx="0" cy="61912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8</xdr:row>
      <xdr:rowOff>161925</xdr:rowOff>
    </xdr:from>
    <xdr:to>
      <xdr:col>10</xdr:col>
      <xdr:colOff>152400</xdr:colOff>
      <xdr:row>12</xdr:row>
      <xdr:rowOff>19050</xdr:rowOff>
    </xdr:to>
    <xdr:cxnSp macro="">
      <xdr:nvCxnSpPr>
        <xdr:cNvPr id="28" name="Connecteur droi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>
          <a:off x="7772400" y="1685925"/>
          <a:ext cx="0" cy="61912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2</xdr:row>
      <xdr:rowOff>104775</xdr:rowOff>
    </xdr:from>
    <xdr:to>
      <xdr:col>10</xdr:col>
      <xdr:colOff>619125</xdr:colOff>
      <xdr:row>2</xdr:row>
      <xdr:rowOff>104775</xdr:rowOff>
    </xdr:to>
    <xdr:cxnSp macro="">
      <xdr:nvCxnSpPr>
        <xdr:cNvPr id="29" name="Connecteur droit avec flèch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/>
      </xdr:nvCxnSpPr>
      <xdr:spPr>
        <a:xfrm>
          <a:off x="4781550" y="485775"/>
          <a:ext cx="34575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180975</xdr:colOff>
      <xdr:row>2</xdr:row>
      <xdr:rowOff>180975</xdr:rowOff>
    </xdr:from>
    <xdr:to>
      <xdr:col>5</xdr:col>
      <xdr:colOff>190500</xdr:colOff>
      <xdr:row>23</xdr:row>
      <xdr:rowOff>161925</xdr:rowOff>
    </xdr:to>
    <xdr:cxnSp macro="">
      <xdr:nvCxnSpPr>
        <xdr:cNvPr id="30" name="Connecteur droit avec flèch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CxnSpPr/>
      </xdr:nvCxnSpPr>
      <xdr:spPr>
        <a:xfrm flipH="1">
          <a:off x="3990975" y="561975"/>
          <a:ext cx="9525" cy="398145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476249</xdr:colOff>
      <xdr:row>4</xdr:row>
      <xdr:rowOff>76200</xdr:rowOff>
    </xdr:from>
    <xdr:to>
      <xdr:col>6</xdr:col>
      <xdr:colOff>142875</xdr:colOff>
      <xdr:row>4</xdr:row>
      <xdr:rowOff>123825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286249" y="838200"/>
          <a:ext cx="428626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476249</xdr:colOff>
      <xdr:row>7</xdr:row>
      <xdr:rowOff>38100</xdr:rowOff>
    </xdr:from>
    <xdr:to>
      <xdr:col>6</xdr:col>
      <xdr:colOff>142875</xdr:colOff>
      <xdr:row>7</xdr:row>
      <xdr:rowOff>85725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286249" y="1371600"/>
          <a:ext cx="428626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457200</xdr:colOff>
      <xdr:row>13</xdr:row>
      <xdr:rowOff>76200</xdr:rowOff>
    </xdr:from>
    <xdr:to>
      <xdr:col>6</xdr:col>
      <xdr:colOff>123826</xdr:colOff>
      <xdr:row>13</xdr:row>
      <xdr:rowOff>123825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267200" y="2552700"/>
          <a:ext cx="428626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457200</xdr:colOff>
      <xdr:row>16</xdr:row>
      <xdr:rowOff>57150</xdr:rowOff>
    </xdr:from>
    <xdr:to>
      <xdr:col>6</xdr:col>
      <xdr:colOff>123826</xdr:colOff>
      <xdr:row>16</xdr:row>
      <xdr:rowOff>104775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267200" y="3105150"/>
          <a:ext cx="428626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457200</xdr:colOff>
      <xdr:row>19</xdr:row>
      <xdr:rowOff>95250</xdr:rowOff>
    </xdr:from>
    <xdr:to>
      <xdr:col>6</xdr:col>
      <xdr:colOff>123826</xdr:colOff>
      <xdr:row>19</xdr:row>
      <xdr:rowOff>142875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267200" y="3714750"/>
          <a:ext cx="428626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466725</xdr:colOff>
      <xdr:row>22</xdr:row>
      <xdr:rowOff>28575</xdr:rowOff>
    </xdr:from>
    <xdr:to>
      <xdr:col>6</xdr:col>
      <xdr:colOff>133351</xdr:colOff>
      <xdr:row>22</xdr:row>
      <xdr:rowOff>76200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276725" y="4219575"/>
          <a:ext cx="428626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342899</xdr:colOff>
      <xdr:row>4</xdr:row>
      <xdr:rowOff>76200</xdr:rowOff>
    </xdr:from>
    <xdr:to>
      <xdr:col>10</xdr:col>
      <xdr:colOff>552450</xdr:colOff>
      <xdr:row>4</xdr:row>
      <xdr:rowOff>123825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7962899" y="83820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342899</xdr:colOff>
      <xdr:row>7</xdr:row>
      <xdr:rowOff>38100</xdr:rowOff>
    </xdr:from>
    <xdr:to>
      <xdr:col>10</xdr:col>
      <xdr:colOff>552450</xdr:colOff>
      <xdr:row>7</xdr:row>
      <xdr:rowOff>85725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7962899" y="137160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323850</xdr:colOff>
      <xdr:row>13</xdr:row>
      <xdr:rowOff>76200</xdr:rowOff>
    </xdr:from>
    <xdr:to>
      <xdr:col>10</xdr:col>
      <xdr:colOff>533401</xdr:colOff>
      <xdr:row>13</xdr:row>
      <xdr:rowOff>123825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7943850" y="255270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323850</xdr:colOff>
      <xdr:row>16</xdr:row>
      <xdr:rowOff>57150</xdr:rowOff>
    </xdr:from>
    <xdr:to>
      <xdr:col>10</xdr:col>
      <xdr:colOff>533401</xdr:colOff>
      <xdr:row>16</xdr:row>
      <xdr:rowOff>104775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7943850" y="31051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323850</xdr:colOff>
      <xdr:row>19</xdr:row>
      <xdr:rowOff>95250</xdr:rowOff>
    </xdr:from>
    <xdr:to>
      <xdr:col>10</xdr:col>
      <xdr:colOff>533401</xdr:colOff>
      <xdr:row>19</xdr:row>
      <xdr:rowOff>142875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7943850" y="3714750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333375</xdr:colOff>
      <xdr:row>22</xdr:row>
      <xdr:rowOff>28575</xdr:rowOff>
    </xdr:from>
    <xdr:to>
      <xdr:col>10</xdr:col>
      <xdr:colOff>542926</xdr:colOff>
      <xdr:row>22</xdr:row>
      <xdr:rowOff>76200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7953375" y="421957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504824</xdr:colOff>
      <xdr:row>4</xdr:row>
      <xdr:rowOff>76200</xdr:rowOff>
    </xdr:from>
    <xdr:to>
      <xdr:col>6</xdr:col>
      <xdr:colOff>714375</xdr:colOff>
      <xdr:row>4</xdr:row>
      <xdr:rowOff>123825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5076824" y="8382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504824</xdr:colOff>
      <xdr:row>7</xdr:row>
      <xdr:rowOff>38100</xdr:rowOff>
    </xdr:from>
    <xdr:to>
      <xdr:col>6</xdr:col>
      <xdr:colOff>714375</xdr:colOff>
      <xdr:row>7</xdr:row>
      <xdr:rowOff>85725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5076824" y="13716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485775</xdr:colOff>
      <xdr:row>13</xdr:row>
      <xdr:rowOff>76200</xdr:rowOff>
    </xdr:from>
    <xdr:to>
      <xdr:col>6</xdr:col>
      <xdr:colOff>695326</xdr:colOff>
      <xdr:row>13</xdr:row>
      <xdr:rowOff>123825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5057775" y="25527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485775</xdr:colOff>
      <xdr:row>16</xdr:row>
      <xdr:rowOff>57150</xdr:rowOff>
    </xdr:from>
    <xdr:to>
      <xdr:col>6</xdr:col>
      <xdr:colOff>695326</xdr:colOff>
      <xdr:row>16</xdr:row>
      <xdr:rowOff>104775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5057775" y="31051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485775</xdr:colOff>
      <xdr:row>19</xdr:row>
      <xdr:rowOff>95250</xdr:rowOff>
    </xdr:from>
    <xdr:to>
      <xdr:col>6</xdr:col>
      <xdr:colOff>695326</xdr:colOff>
      <xdr:row>19</xdr:row>
      <xdr:rowOff>142875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5057775" y="371475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495300</xdr:colOff>
      <xdr:row>22</xdr:row>
      <xdr:rowOff>28575</xdr:rowOff>
    </xdr:from>
    <xdr:to>
      <xdr:col>6</xdr:col>
      <xdr:colOff>704851</xdr:colOff>
      <xdr:row>22</xdr:row>
      <xdr:rowOff>76200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5067300" y="42195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1114424</xdr:colOff>
      <xdr:row>4</xdr:row>
      <xdr:rowOff>85725</xdr:rowOff>
    </xdr:from>
    <xdr:to>
      <xdr:col>6</xdr:col>
      <xdr:colOff>1323975</xdr:colOff>
      <xdr:row>4</xdr:row>
      <xdr:rowOff>133350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>
          <a:off x="5333999" y="847725"/>
          <a:ext cx="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1114424</xdr:colOff>
      <xdr:row>7</xdr:row>
      <xdr:rowOff>47625</xdr:rowOff>
    </xdr:from>
    <xdr:to>
      <xdr:col>6</xdr:col>
      <xdr:colOff>1323975</xdr:colOff>
      <xdr:row>7</xdr:row>
      <xdr:rowOff>95250</xdr:rowOff>
    </xdr:to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5333999" y="1381125"/>
          <a:ext cx="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1095375</xdr:colOff>
      <xdr:row>13</xdr:row>
      <xdr:rowOff>85725</xdr:rowOff>
    </xdr:from>
    <xdr:to>
      <xdr:col>6</xdr:col>
      <xdr:colOff>1304926</xdr:colOff>
      <xdr:row>13</xdr:row>
      <xdr:rowOff>133350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>
        <a:xfrm>
          <a:off x="5334000" y="2562225"/>
          <a:ext cx="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1095375</xdr:colOff>
      <xdr:row>16</xdr:row>
      <xdr:rowOff>66675</xdr:rowOff>
    </xdr:from>
    <xdr:to>
      <xdr:col>6</xdr:col>
      <xdr:colOff>1304926</xdr:colOff>
      <xdr:row>16</xdr:row>
      <xdr:rowOff>114300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>
        <a:xfrm>
          <a:off x="5334000" y="3114675"/>
          <a:ext cx="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1095375</xdr:colOff>
      <xdr:row>19</xdr:row>
      <xdr:rowOff>104775</xdr:rowOff>
    </xdr:from>
    <xdr:to>
      <xdr:col>6</xdr:col>
      <xdr:colOff>1304926</xdr:colOff>
      <xdr:row>19</xdr:row>
      <xdr:rowOff>152400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5334000" y="3724275"/>
          <a:ext cx="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1104900</xdr:colOff>
      <xdr:row>22</xdr:row>
      <xdr:rowOff>38100</xdr:rowOff>
    </xdr:from>
    <xdr:to>
      <xdr:col>6</xdr:col>
      <xdr:colOff>1314451</xdr:colOff>
      <xdr:row>22</xdr:row>
      <xdr:rowOff>85725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5334000" y="4229100"/>
          <a:ext cx="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1743074</xdr:colOff>
      <xdr:row>4</xdr:row>
      <xdr:rowOff>85725</xdr:rowOff>
    </xdr:from>
    <xdr:to>
      <xdr:col>7</xdr:col>
      <xdr:colOff>200025</xdr:colOff>
      <xdr:row>4</xdr:row>
      <xdr:rowOff>133350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5333999" y="847725"/>
          <a:ext cx="200026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1743074</xdr:colOff>
      <xdr:row>7</xdr:row>
      <xdr:rowOff>47625</xdr:rowOff>
    </xdr:from>
    <xdr:to>
      <xdr:col>7</xdr:col>
      <xdr:colOff>200025</xdr:colOff>
      <xdr:row>7</xdr:row>
      <xdr:rowOff>95250</xdr:rowOff>
    </xdr:to>
    <xdr:sp macro="" textlink="">
      <xdr:nvSpPr>
        <xdr:cNvPr id="56" name="Rectangle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5333999" y="1381125"/>
          <a:ext cx="200026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1724025</xdr:colOff>
      <xdr:row>13</xdr:row>
      <xdr:rowOff>85725</xdr:rowOff>
    </xdr:from>
    <xdr:to>
      <xdr:col>7</xdr:col>
      <xdr:colOff>180976</xdr:colOff>
      <xdr:row>13</xdr:row>
      <xdr:rowOff>133350</xdr:rowOff>
    </xdr:to>
    <xdr:sp macro="" textlink="">
      <xdr:nvSpPr>
        <xdr:cNvPr id="57" name="Rectangle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5334000" y="2562225"/>
          <a:ext cx="180976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1724025</xdr:colOff>
      <xdr:row>16</xdr:row>
      <xdr:rowOff>66675</xdr:rowOff>
    </xdr:from>
    <xdr:to>
      <xdr:col>7</xdr:col>
      <xdr:colOff>180976</xdr:colOff>
      <xdr:row>16</xdr:row>
      <xdr:rowOff>114300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>
        <a:xfrm>
          <a:off x="5334000" y="3114675"/>
          <a:ext cx="180976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1724025</xdr:colOff>
      <xdr:row>19</xdr:row>
      <xdr:rowOff>104775</xdr:rowOff>
    </xdr:from>
    <xdr:to>
      <xdr:col>7</xdr:col>
      <xdr:colOff>180976</xdr:colOff>
      <xdr:row>19</xdr:row>
      <xdr:rowOff>152400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5334000" y="3724275"/>
          <a:ext cx="180976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1733550</xdr:colOff>
      <xdr:row>22</xdr:row>
      <xdr:rowOff>38100</xdr:rowOff>
    </xdr:from>
    <xdr:to>
      <xdr:col>7</xdr:col>
      <xdr:colOff>190501</xdr:colOff>
      <xdr:row>22</xdr:row>
      <xdr:rowOff>85725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5334000" y="4229100"/>
          <a:ext cx="19050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590549</xdr:colOff>
      <xdr:row>4</xdr:row>
      <xdr:rowOff>85725</xdr:rowOff>
    </xdr:from>
    <xdr:to>
      <xdr:col>7</xdr:col>
      <xdr:colOff>800100</xdr:colOff>
      <xdr:row>4</xdr:row>
      <xdr:rowOff>133350</xdr:rowOff>
    </xdr:to>
    <xdr:sp macro="" textlink="">
      <xdr:nvSpPr>
        <xdr:cNvPr id="61" name="Rectangl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>
          <a:off x="5924549" y="847725"/>
          <a:ext cx="1714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590549</xdr:colOff>
      <xdr:row>7</xdr:row>
      <xdr:rowOff>47625</xdr:rowOff>
    </xdr:from>
    <xdr:to>
      <xdr:col>7</xdr:col>
      <xdr:colOff>800100</xdr:colOff>
      <xdr:row>7</xdr:row>
      <xdr:rowOff>95250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5924549" y="1381125"/>
          <a:ext cx="1714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571500</xdr:colOff>
      <xdr:row>13</xdr:row>
      <xdr:rowOff>85725</xdr:rowOff>
    </xdr:from>
    <xdr:to>
      <xdr:col>7</xdr:col>
      <xdr:colOff>781051</xdr:colOff>
      <xdr:row>13</xdr:row>
      <xdr:rowOff>133350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5905500" y="2562225"/>
          <a:ext cx="19050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571500</xdr:colOff>
      <xdr:row>16</xdr:row>
      <xdr:rowOff>66675</xdr:rowOff>
    </xdr:from>
    <xdr:to>
      <xdr:col>7</xdr:col>
      <xdr:colOff>781051</xdr:colOff>
      <xdr:row>16</xdr:row>
      <xdr:rowOff>114300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5905500" y="3114675"/>
          <a:ext cx="19050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571500</xdr:colOff>
      <xdr:row>19</xdr:row>
      <xdr:rowOff>104775</xdr:rowOff>
    </xdr:from>
    <xdr:to>
      <xdr:col>7</xdr:col>
      <xdr:colOff>781051</xdr:colOff>
      <xdr:row>19</xdr:row>
      <xdr:rowOff>152400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5905500" y="3724275"/>
          <a:ext cx="19050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581025</xdr:colOff>
      <xdr:row>22</xdr:row>
      <xdr:rowOff>38100</xdr:rowOff>
    </xdr:from>
    <xdr:to>
      <xdr:col>7</xdr:col>
      <xdr:colOff>790576</xdr:colOff>
      <xdr:row>22</xdr:row>
      <xdr:rowOff>85725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5915025" y="4229100"/>
          <a:ext cx="180976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8</xdr:col>
      <xdr:colOff>704849</xdr:colOff>
      <xdr:row>4</xdr:row>
      <xdr:rowOff>85725</xdr:rowOff>
    </xdr:from>
    <xdr:to>
      <xdr:col>9</xdr:col>
      <xdr:colOff>152400</xdr:colOff>
      <xdr:row>4</xdr:row>
      <xdr:rowOff>133350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>
        <a:xfrm>
          <a:off x="6800849" y="8477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8</xdr:col>
      <xdr:colOff>704849</xdr:colOff>
      <xdr:row>7</xdr:row>
      <xdr:rowOff>47625</xdr:rowOff>
    </xdr:from>
    <xdr:to>
      <xdr:col>9</xdr:col>
      <xdr:colOff>152400</xdr:colOff>
      <xdr:row>7</xdr:row>
      <xdr:rowOff>95250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>
          <a:off x="6800849" y="13811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8</xdr:col>
      <xdr:colOff>685800</xdr:colOff>
      <xdr:row>13</xdr:row>
      <xdr:rowOff>85725</xdr:rowOff>
    </xdr:from>
    <xdr:to>
      <xdr:col>9</xdr:col>
      <xdr:colOff>133351</xdr:colOff>
      <xdr:row>13</xdr:row>
      <xdr:rowOff>133350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6781800" y="25622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8</xdr:col>
      <xdr:colOff>685800</xdr:colOff>
      <xdr:row>16</xdr:row>
      <xdr:rowOff>66675</xdr:rowOff>
    </xdr:from>
    <xdr:to>
      <xdr:col>9</xdr:col>
      <xdr:colOff>133351</xdr:colOff>
      <xdr:row>16</xdr:row>
      <xdr:rowOff>114300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>
          <a:off x="6781800" y="31146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8</xdr:col>
      <xdr:colOff>685800</xdr:colOff>
      <xdr:row>19</xdr:row>
      <xdr:rowOff>104775</xdr:rowOff>
    </xdr:from>
    <xdr:to>
      <xdr:col>9</xdr:col>
      <xdr:colOff>133351</xdr:colOff>
      <xdr:row>19</xdr:row>
      <xdr:rowOff>152400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>
          <a:off x="6781800" y="37242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8</xdr:col>
      <xdr:colOff>695325</xdr:colOff>
      <xdr:row>22</xdr:row>
      <xdr:rowOff>38100</xdr:rowOff>
    </xdr:from>
    <xdr:to>
      <xdr:col>9</xdr:col>
      <xdr:colOff>142876</xdr:colOff>
      <xdr:row>22</xdr:row>
      <xdr:rowOff>85725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6791325" y="42291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514349</xdr:colOff>
      <xdr:row>4</xdr:row>
      <xdr:rowOff>85725</xdr:rowOff>
    </xdr:from>
    <xdr:to>
      <xdr:col>9</xdr:col>
      <xdr:colOff>723900</xdr:colOff>
      <xdr:row>4</xdr:row>
      <xdr:rowOff>133350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7372349" y="8477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514349</xdr:colOff>
      <xdr:row>7</xdr:row>
      <xdr:rowOff>47625</xdr:rowOff>
    </xdr:from>
    <xdr:to>
      <xdr:col>9</xdr:col>
      <xdr:colOff>723900</xdr:colOff>
      <xdr:row>7</xdr:row>
      <xdr:rowOff>95250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7372349" y="13811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495300</xdr:colOff>
      <xdr:row>13</xdr:row>
      <xdr:rowOff>85725</xdr:rowOff>
    </xdr:from>
    <xdr:to>
      <xdr:col>9</xdr:col>
      <xdr:colOff>704851</xdr:colOff>
      <xdr:row>13</xdr:row>
      <xdr:rowOff>133350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7353300" y="256222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495300</xdr:colOff>
      <xdr:row>16</xdr:row>
      <xdr:rowOff>66675</xdr:rowOff>
    </xdr:from>
    <xdr:to>
      <xdr:col>9</xdr:col>
      <xdr:colOff>704851</xdr:colOff>
      <xdr:row>16</xdr:row>
      <xdr:rowOff>114300</xdr:rowOff>
    </xdr:to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7353300" y="31146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495300</xdr:colOff>
      <xdr:row>19</xdr:row>
      <xdr:rowOff>104775</xdr:rowOff>
    </xdr:from>
    <xdr:to>
      <xdr:col>9</xdr:col>
      <xdr:colOff>704851</xdr:colOff>
      <xdr:row>19</xdr:row>
      <xdr:rowOff>152400</xdr:rowOff>
    </xdr:to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>
          <a:off x="7353300" y="3724275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9</xdr:col>
      <xdr:colOff>504825</xdr:colOff>
      <xdr:row>22</xdr:row>
      <xdr:rowOff>38100</xdr:rowOff>
    </xdr:from>
    <xdr:to>
      <xdr:col>9</xdr:col>
      <xdr:colOff>714376</xdr:colOff>
      <xdr:row>22</xdr:row>
      <xdr:rowOff>85725</xdr:rowOff>
    </xdr:to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>
          <a:off x="7362825" y="42291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361950</xdr:colOff>
      <xdr:row>22</xdr:row>
      <xdr:rowOff>19050</xdr:rowOff>
    </xdr:from>
    <xdr:to>
      <xdr:col>5</xdr:col>
      <xdr:colOff>361950</xdr:colOff>
      <xdr:row>23</xdr:row>
      <xdr:rowOff>152400</xdr:rowOff>
    </xdr:to>
    <xdr:cxnSp macro="">
      <xdr:nvCxnSpPr>
        <xdr:cNvPr id="79" name="Connecteur droit avec flèche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CxnSpPr/>
      </xdr:nvCxnSpPr>
      <xdr:spPr>
        <a:xfrm flipV="1">
          <a:off x="4171950" y="4210050"/>
          <a:ext cx="0" cy="323850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</xdr:colOff>
      <xdr:row>19</xdr:row>
      <xdr:rowOff>123827</xdr:rowOff>
    </xdr:from>
    <xdr:to>
      <xdr:col>5</xdr:col>
      <xdr:colOff>361951</xdr:colOff>
      <xdr:row>22</xdr:row>
      <xdr:rowOff>38100</xdr:rowOff>
    </xdr:to>
    <xdr:cxnSp macro="">
      <xdr:nvCxnSpPr>
        <xdr:cNvPr id="80" name="Connecteur droit avec flèche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CxnSpPr/>
      </xdr:nvCxnSpPr>
      <xdr:spPr>
        <a:xfrm flipV="1">
          <a:off x="4171950" y="3743327"/>
          <a:ext cx="1" cy="485773"/>
        </a:xfrm>
        <a:prstGeom prst="straightConnector1">
          <a:avLst/>
        </a:prstGeom>
        <a:ln>
          <a:solidFill>
            <a:srgbClr val="7030A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</xdr:colOff>
      <xdr:row>16</xdr:row>
      <xdr:rowOff>57150</xdr:rowOff>
    </xdr:from>
    <xdr:to>
      <xdr:col>5</xdr:col>
      <xdr:colOff>361953</xdr:colOff>
      <xdr:row>19</xdr:row>
      <xdr:rowOff>152401</xdr:rowOff>
    </xdr:to>
    <xdr:cxnSp macro="">
      <xdr:nvCxnSpPr>
        <xdr:cNvPr id="81" name="Connecteur droit avec flèche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CxnSpPr/>
      </xdr:nvCxnSpPr>
      <xdr:spPr>
        <a:xfrm flipH="1" flipV="1">
          <a:off x="4171950" y="3105150"/>
          <a:ext cx="3" cy="666751"/>
        </a:xfrm>
        <a:prstGeom prst="straightConnector1">
          <a:avLst/>
        </a:prstGeom>
        <a:ln>
          <a:solidFill>
            <a:srgbClr val="F070D8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361952</xdr:colOff>
      <xdr:row>13</xdr:row>
      <xdr:rowOff>76200</xdr:rowOff>
    </xdr:from>
    <xdr:to>
      <xdr:col>5</xdr:col>
      <xdr:colOff>371475</xdr:colOff>
      <xdr:row>16</xdr:row>
      <xdr:rowOff>57150</xdr:rowOff>
    </xdr:to>
    <xdr:cxnSp macro="">
      <xdr:nvCxnSpPr>
        <xdr:cNvPr id="82" name="Connecteur droit avec flèche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CxnSpPr/>
      </xdr:nvCxnSpPr>
      <xdr:spPr>
        <a:xfrm flipV="1">
          <a:off x="4171952" y="2552700"/>
          <a:ext cx="9523" cy="552450"/>
        </a:xfrm>
        <a:prstGeom prst="straightConnector1">
          <a:avLst/>
        </a:prstGeom>
        <a:ln>
          <a:solidFill>
            <a:srgbClr val="7030A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27</xdr:row>
      <xdr:rowOff>95250</xdr:rowOff>
    </xdr:from>
    <xdr:to>
      <xdr:col>5</xdr:col>
      <xdr:colOff>485775</xdr:colOff>
      <xdr:row>27</xdr:row>
      <xdr:rowOff>95250</xdr:rowOff>
    </xdr:to>
    <xdr:cxnSp macro="">
      <xdr:nvCxnSpPr>
        <xdr:cNvPr id="83" name="Connecteur droit avec flèche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CxnSpPr/>
      </xdr:nvCxnSpPr>
      <xdr:spPr>
        <a:xfrm flipH="1">
          <a:off x="3886201" y="5238750"/>
          <a:ext cx="409574" cy="0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28</xdr:row>
      <xdr:rowOff>95250</xdr:rowOff>
    </xdr:from>
    <xdr:to>
      <xdr:col>5</xdr:col>
      <xdr:colOff>485774</xdr:colOff>
      <xdr:row>28</xdr:row>
      <xdr:rowOff>95250</xdr:rowOff>
    </xdr:to>
    <xdr:cxnSp macro="">
      <xdr:nvCxnSpPr>
        <xdr:cNvPr id="84" name="Connecteur droit avec flèche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CxnSpPr/>
      </xdr:nvCxnSpPr>
      <xdr:spPr>
        <a:xfrm flipH="1">
          <a:off x="3886200" y="5429250"/>
          <a:ext cx="409574" cy="0"/>
        </a:xfrm>
        <a:prstGeom prst="straightConnector1">
          <a:avLst/>
        </a:prstGeom>
        <a:ln>
          <a:solidFill>
            <a:srgbClr val="7030A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85725</xdr:colOff>
      <xdr:row>29</xdr:row>
      <xdr:rowOff>104775</xdr:rowOff>
    </xdr:from>
    <xdr:to>
      <xdr:col>5</xdr:col>
      <xdr:colOff>476250</xdr:colOff>
      <xdr:row>29</xdr:row>
      <xdr:rowOff>104776</xdr:rowOff>
    </xdr:to>
    <xdr:cxnSp macro="">
      <xdr:nvCxnSpPr>
        <xdr:cNvPr id="85" name="Connecteur droit avec flèche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CxnSpPr/>
      </xdr:nvCxnSpPr>
      <xdr:spPr>
        <a:xfrm flipH="1">
          <a:off x="3895725" y="5629275"/>
          <a:ext cx="390525" cy="1"/>
        </a:xfrm>
        <a:prstGeom prst="straightConnector1">
          <a:avLst/>
        </a:prstGeom>
        <a:ln>
          <a:solidFill>
            <a:srgbClr val="F070D8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24</xdr:row>
      <xdr:rowOff>76200</xdr:rowOff>
    </xdr:from>
    <xdr:to>
      <xdr:col>6</xdr:col>
      <xdr:colOff>628650</xdr:colOff>
      <xdr:row>24</xdr:row>
      <xdr:rowOff>76201</xdr:rowOff>
    </xdr:to>
    <xdr:cxnSp macro="">
      <xdr:nvCxnSpPr>
        <xdr:cNvPr id="86" name="Connecteur droit avec flèche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CxnSpPr/>
      </xdr:nvCxnSpPr>
      <xdr:spPr>
        <a:xfrm flipV="1">
          <a:off x="4572000" y="4648200"/>
          <a:ext cx="628650" cy="1"/>
        </a:xfrm>
        <a:prstGeom prst="straightConnector1">
          <a:avLst/>
        </a:prstGeom>
        <a:ln>
          <a:solidFill>
            <a:schemeClr val="accent6">
              <a:lumMod val="7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619125</xdr:colOff>
      <xdr:row>24</xdr:row>
      <xdr:rowOff>76200</xdr:rowOff>
    </xdr:from>
    <xdr:to>
      <xdr:col>6</xdr:col>
      <xdr:colOff>1247775</xdr:colOff>
      <xdr:row>24</xdr:row>
      <xdr:rowOff>76201</xdr:rowOff>
    </xdr:to>
    <xdr:cxnSp macro="">
      <xdr:nvCxnSpPr>
        <xdr:cNvPr id="87" name="Connecteur droit avec flèche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CxnSpPr/>
      </xdr:nvCxnSpPr>
      <xdr:spPr>
        <a:xfrm flipV="1">
          <a:off x="5191125" y="4648200"/>
          <a:ext cx="142875" cy="1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1219200</xdr:colOff>
      <xdr:row>24</xdr:row>
      <xdr:rowOff>76200</xdr:rowOff>
    </xdr:from>
    <xdr:to>
      <xdr:col>7</xdr:col>
      <xdr:colOff>95250</xdr:colOff>
      <xdr:row>24</xdr:row>
      <xdr:rowOff>76201</xdr:rowOff>
    </xdr:to>
    <xdr:cxnSp macro="">
      <xdr:nvCxnSpPr>
        <xdr:cNvPr id="88" name="Connecteur droit avec flèche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CxnSpPr/>
      </xdr:nvCxnSpPr>
      <xdr:spPr>
        <a:xfrm flipV="1">
          <a:off x="5334000" y="4648200"/>
          <a:ext cx="95250" cy="1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32</xdr:row>
      <xdr:rowOff>95250</xdr:rowOff>
    </xdr:from>
    <xdr:to>
      <xdr:col>5</xdr:col>
      <xdr:colOff>495300</xdr:colOff>
      <xdr:row>32</xdr:row>
      <xdr:rowOff>95253</xdr:rowOff>
    </xdr:to>
    <xdr:cxnSp macro="">
      <xdr:nvCxnSpPr>
        <xdr:cNvPr id="89" name="Connecteur droit avec flèche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CxnSpPr/>
      </xdr:nvCxnSpPr>
      <xdr:spPr>
        <a:xfrm flipV="1">
          <a:off x="3857625" y="6191250"/>
          <a:ext cx="447675" cy="3"/>
        </a:xfrm>
        <a:prstGeom prst="straightConnector1">
          <a:avLst/>
        </a:prstGeom>
        <a:ln>
          <a:solidFill>
            <a:schemeClr val="accent6">
              <a:lumMod val="7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33</xdr:row>
      <xdr:rowOff>95250</xdr:rowOff>
    </xdr:from>
    <xdr:to>
      <xdr:col>5</xdr:col>
      <xdr:colOff>495300</xdr:colOff>
      <xdr:row>33</xdr:row>
      <xdr:rowOff>95252</xdr:rowOff>
    </xdr:to>
    <xdr:cxnSp macro="">
      <xdr:nvCxnSpPr>
        <xdr:cNvPr id="90" name="Connecteur droit avec flèche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CxnSpPr/>
      </xdr:nvCxnSpPr>
      <xdr:spPr>
        <a:xfrm flipV="1">
          <a:off x="3857625" y="6381750"/>
          <a:ext cx="447675" cy="2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171450</xdr:colOff>
      <xdr:row>35</xdr:row>
      <xdr:rowOff>66675</xdr:rowOff>
    </xdr:from>
    <xdr:to>
      <xdr:col>5</xdr:col>
      <xdr:colOff>381001</xdr:colOff>
      <xdr:row>35</xdr:row>
      <xdr:rowOff>114300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/>
      </xdr:nvSpPr>
      <xdr:spPr>
        <a:xfrm>
          <a:off x="3981450" y="6734175"/>
          <a:ext cx="209551" cy="47625"/>
        </a:xfrm>
        <a:prstGeom prst="rect">
          <a:avLst/>
        </a:prstGeom>
        <a:noFill/>
        <a:ln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5</xdr:col>
      <xdr:colOff>171450</xdr:colOff>
      <xdr:row>36</xdr:row>
      <xdr:rowOff>76200</xdr:rowOff>
    </xdr:from>
    <xdr:to>
      <xdr:col>5</xdr:col>
      <xdr:colOff>381001</xdr:colOff>
      <xdr:row>36</xdr:row>
      <xdr:rowOff>123825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/>
      </xdr:nvSpPr>
      <xdr:spPr>
        <a:xfrm>
          <a:off x="3981450" y="6934200"/>
          <a:ext cx="209551" cy="47625"/>
        </a:xfrm>
        <a:prstGeom prst="rect">
          <a:avLst/>
        </a:prstGeom>
        <a:noFill/>
        <a:ln>
          <a:solidFill>
            <a:srgbClr val="00B05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590552</xdr:colOff>
      <xdr:row>4</xdr:row>
      <xdr:rowOff>133351</xdr:rowOff>
    </xdr:from>
    <xdr:to>
      <xdr:col>11</xdr:col>
      <xdr:colOff>323850</xdr:colOff>
      <xdr:row>5</xdr:row>
      <xdr:rowOff>171450</xdr:rowOff>
    </xdr:to>
    <xdr:cxnSp macro="">
      <xdr:nvCxnSpPr>
        <xdr:cNvPr id="93" name="Connecteur droit avec flèche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CxnSpPr/>
      </xdr:nvCxnSpPr>
      <xdr:spPr>
        <a:xfrm flipH="1" flipV="1">
          <a:off x="8210552" y="895351"/>
          <a:ext cx="495298" cy="228599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333376</xdr:colOff>
      <xdr:row>4</xdr:row>
      <xdr:rowOff>8692</xdr:rowOff>
    </xdr:from>
    <xdr:to>
      <xdr:col>12</xdr:col>
      <xdr:colOff>714376</xdr:colOff>
      <xdr:row>7</xdr:row>
      <xdr:rowOff>82792</xdr:rowOff>
    </xdr:to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8715376" y="770692"/>
          <a:ext cx="1143000" cy="645600"/>
        </a:xfrm>
        <a:prstGeom prst="rect">
          <a:avLst/>
        </a:prstGeom>
        <a:solidFill>
          <a:schemeClr val="lt1"/>
        </a:solidFill>
        <a:ln w="2857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baseline="0"/>
            <a:t>Emplacement</a:t>
          </a:r>
        </a:p>
        <a:p>
          <a:pPr algn="ctr"/>
          <a:r>
            <a:rPr lang="fr-FR" sz="1100" b="1" baseline="0"/>
            <a:t> des Rails et des  Brides Latérales </a:t>
          </a:r>
          <a:endParaRPr lang="fr-FR" sz="1100" b="1"/>
        </a:p>
      </xdr:txBody>
    </xdr:sp>
    <xdr:clientData/>
  </xdr:twoCellAnchor>
  <xdr:twoCellAnchor>
    <xdr:from>
      <xdr:col>10</xdr:col>
      <xdr:colOff>597443</xdr:colOff>
      <xdr:row>5</xdr:row>
      <xdr:rowOff>171450</xdr:rowOff>
    </xdr:from>
    <xdr:to>
      <xdr:col>11</xdr:col>
      <xdr:colOff>314325</xdr:colOff>
      <xdr:row>7</xdr:row>
      <xdr:rowOff>73413</xdr:rowOff>
    </xdr:to>
    <xdr:cxnSp macro="">
      <xdr:nvCxnSpPr>
        <xdr:cNvPr id="95" name="Connecteur droit avec flèche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CxnSpPr/>
      </xdr:nvCxnSpPr>
      <xdr:spPr>
        <a:xfrm flipH="1">
          <a:off x="8217443" y="1123950"/>
          <a:ext cx="478882" cy="282963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467434</xdr:colOff>
      <xdr:row>13</xdr:row>
      <xdr:rowOff>71314</xdr:rowOff>
    </xdr:from>
    <xdr:to>
      <xdr:col>13</xdr:col>
      <xdr:colOff>88049</xdr:colOff>
      <xdr:row>16</xdr:row>
      <xdr:rowOff>132661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 txBox="1"/>
      </xdr:nvSpPr>
      <xdr:spPr>
        <a:xfrm>
          <a:off x="8849434" y="2547814"/>
          <a:ext cx="1144615" cy="632847"/>
        </a:xfrm>
        <a:prstGeom prst="rect">
          <a:avLst/>
        </a:prstGeom>
        <a:solidFill>
          <a:schemeClr val="lt1"/>
        </a:solidFill>
        <a:ln w="2857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baseline="0"/>
            <a:t>Emplacement</a:t>
          </a:r>
        </a:p>
        <a:p>
          <a:pPr algn="ctr"/>
          <a:r>
            <a:rPr lang="fr-FR" sz="1100" b="1" baseline="0"/>
            <a:t> des Rails et des Brides Centrales </a:t>
          </a:r>
          <a:endParaRPr lang="fr-FR" sz="1100" b="1"/>
        </a:p>
      </xdr:txBody>
    </xdr:sp>
    <xdr:clientData/>
  </xdr:twoCellAnchor>
  <xdr:twoCellAnchor>
    <xdr:from>
      <xdr:col>9</xdr:col>
      <xdr:colOff>742950</xdr:colOff>
      <xdr:row>13</xdr:row>
      <xdr:rowOff>123825</xdr:rowOff>
    </xdr:from>
    <xdr:to>
      <xdr:col>11</xdr:col>
      <xdr:colOff>467434</xdr:colOff>
      <xdr:row>15</xdr:row>
      <xdr:rowOff>6738</xdr:rowOff>
    </xdr:to>
    <xdr:cxnSp macro="">
      <xdr:nvCxnSpPr>
        <xdr:cNvPr id="97" name="Connecteur droit avec flèche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CxnSpPr>
          <a:stCxn id="96" idx="1"/>
        </xdr:cNvCxnSpPr>
      </xdr:nvCxnSpPr>
      <xdr:spPr>
        <a:xfrm flipH="1" flipV="1">
          <a:off x="7600950" y="2600325"/>
          <a:ext cx="1248484" cy="263913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752475</xdr:colOff>
      <xdr:row>15</xdr:row>
      <xdr:rowOff>6738</xdr:rowOff>
    </xdr:from>
    <xdr:to>
      <xdr:col>11</xdr:col>
      <xdr:colOff>467434</xdr:colOff>
      <xdr:row>16</xdr:row>
      <xdr:rowOff>76200</xdr:rowOff>
    </xdr:to>
    <xdr:cxnSp macro="">
      <xdr:nvCxnSpPr>
        <xdr:cNvPr id="98" name="Connecteur droit avec flèche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CxnSpPr>
          <a:stCxn id="96" idx="1"/>
        </xdr:cNvCxnSpPr>
      </xdr:nvCxnSpPr>
      <xdr:spPr>
        <a:xfrm flipH="1">
          <a:off x="7610475" y="2864238"/>
          <a:ext cx="1238959" cy="259962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16</xdr:row>
      <xdr:rowOff>19050</xdr:rowOff>
    </xdr:from>
    <xdr:to>
      <xdr:col>2</xdr:col>
      <xdr:colOff>1130396</xdr:colOff>
      <xdr:row>19</xdr:row>
      <xdr:rowOff>138352</xdr:rowOff>
    </xdr:to>
    <xdr:sp macro="" textlink="">
      <xdr:nvSpPr>
        <xdr:cNvPr id="99" name="ZoneTexte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 txBox="1"/>
      </xdr:nvSpPr>
      <xdr:spPr>
        <a:xfrm>
          <a:off x="781050" y="3067050"/>
          <a:ext cx="1501871" cy="690802"/>
        </a:xfrm>
        <a:prstGeom prst="rect">
          <a:avLst/>
        </a:prstGeom>
        <a:solidFill>
          <a:schemeClr val="lt1"/>
        </a:solidFill>
        <a:ln w="38100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300" b="1" i="1" u="sng"/>
            <a:t>Remarque</a:t>
          </a:r>
          <a:r>
            <a:rPr lang="fr-FR" sz="1300" b="1" i="1" u="sng" baseline="0"/>
            <a:t> : </a:t>
          </a:r>
        </a:p>
        <a:p>
          <a:r>
            <a:rPr lang="fr-FR" sz="1100" baseline="0"/>
            <a:t>L'emplacement des rails peut varier selon le positonnement des modules.</a:t>
          </a:r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74428</xdr:colOff>
      <xdr:row>0</xdr:row>
      <xdr:rowOff>28575</xdr:rowOff>
    </xdr:from>
    <xdr:to>
      <xdr:col>2</xdr:col>
      <xdr:colOff>475263</xdr:colOff>
      <xdr:row>0</xdr:row>
      <xdr:rowOff>380622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64300ED-856C-4616-9788-FFCD73A6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178" y="28575"/>
          <a:ext cx="410906" cy="352047"/>
        </a:xfrm>
        <a:prstGeom prst="rect">
          <a:avLst/>
        </a:prstGeom>
      </xdr:spPr>
    </xdr:pic>
    <xdr:clientData/>
  </xdr:twoCellAnchor>
  <xdr:twoCellAnchor editAs="oneCell">
    <xdr:from>
      <xdr:col>11</xdr:col>
      <xdr:colOff>264928</xdr:colOff>
      <xdr:row>0</xdr:row>
      <xdr:rowOff>19050</xdr:rowOff>
    </xdr:from>
    <xdr:to>
      <xdr:col>11</xdr:col>
      <xdr:colOff>665763</xdr:colOff>
      <xdr:row>0</xdr:row>
      <xdr:rowOff>361026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FC54B35-6B69-457A-B597-108AA3B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2278" y="19050"/>
          <a:ext cx="410906" cy="3520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1143001</xdr:colOff>
      <xdr:row>71</xdr:row>
      <xdr:rowOff>129118</xdr:rowOff>
    </xdr:from>
    <xdr:to>
      <xdr:col>8</xdr:col>
      <xdr:colOff>508220</xdr:colOff>
      <xdr:row>79</xdr:row>
      <xdr:rowOff>166687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9782" y="14666649"/>
          <a:ext cx="1551208" cy="1561569"/>
        </a:xfrm>
        <a:prstGeom prst="rect">
          <a:avLst/>
        </a:prstGeom>
      </xdr:spPr>
    </xdr:pic>
    <xdr:clientData/>
  </xdr:twoCellAnchor>
  <xdr:twoCellAnchor editAs="oneCell">
    <xdr:from>
      <xdr:col>3</xdr:col>
      <xdr:colOff>1702594</xdr:colOff>
      <xdr:row>71</xdr:row>
      <xdr:rowOff>35721</xdr:rowOff>
    </xdr:from>
    <xdr:to>
      <xdr:col>6</xdr:col>
      <xdr:colOff>540544</xdr:colOff>
      <xdr:row>80</xdr:row>
      <xdr:rowOff>149334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8407" y="14573252"/>
          <a:ext cx="2512218" cy="18281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snarj\Desktop\J&#233;r&#233;my\Projet%20Visuel%20Client\Fichier%20Calcul%20Devis%20JI%20Energ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e"/>
      <sheetName val="Dimensionnement RS-L"/>
      <sheetName val="Quantité RS-R"/>
      <sheetName val="Quantité Opti'Roof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X48"/>
  <sheetViews>
    <sheetView zoomScale="70" zoomScaleNormal="70" workbookViewId="0">
      <selection activeCell="A3" sqref="A3:X47"/>
    </sheetView>
  </sheetViews>
  <sheetFormatPr baseColWidth="10" defaultRowHeight="14.4"/>
  <cols>
    <col min="1" max="1" width="8.77734375" customWidth="1"/>
    <col min="4" max="4" width="6" customWidth="1"/>
    <col min="5" max="5" width="8.21875" customWidth="1"/>
    <col min="10" max="10" width="6.5546875" customWidth="1"/>
    <col min="11" max="11" width="4.77734375" customWidth="1"/>
    <col min="12" max="12" width="4.21875" customWidth="1"/>
    <col min="13" max="13" width="4.44140625" customWidth="1"/>
    <col min="14" max="14" width="10.21875" customWidth="1"/>
    <col min="15" max="15" width="6" customWidth="1"/>
  </cols>
  <sheetData>
    <row r="1" spans="1:24" ht="15" thickBot="1"/>
    <row r="2" spans="1:24" ht="45" customHeight="1" thickTop="1" thickBot="1">
      <c r="A2" s="318" t="s">
        <v>142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20"/>
    </row>
    <row r="3" spans="1:24" ht="15" thickTop="1">
      <c r="A3" s="321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3"/>
    </row>
    <row r="4" spans="1:24">
      <c r="A4" s="324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6"/>
    </row>
    <row r="5" spans="1:24">
      <c r="A5" s="324"/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6"/>
    </row>
    <row r="6" spans="1:24">
      <c r="A6" s="324"/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6"/>
    </row>
    <row r="7" spans="1:24">
      <c r="A7" s="324"/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6"/>
    </row>
    <row r="8" spans="1:24">
      <c r="A8" s="324"/>
      <c r="B8" s="325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6"/>
    </row>
    <row r="9" spans="1:24">
      <c r="A9" s="324"/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6"/>
    </row>
    <row r="10" spans="1:24">
      <c r="A10" s="324"/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6"/>
    </row>
    <row r="11" spans="1:24">
      <c r="A11" s="324"/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6"/>
    </row>
    <row r="12" spans="1:24">
      <c r="A12" s="324"/>
      <c r="B12" s="325"/>
      <c r="C12" s="325"/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6"/>
    </row>
    <row r="13" spans="1:24">
      <c r="A13" s="324"/>
      <c r="B13" s="325"/>
      <c r="C13" s="325"/>
      <c r="D13" s="325"/>
      <c r="E13" s="325"/>
      <c r="F13" s="325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6"/>
    </row>
    <row r="14" spans="1:24">
      <c r="A14" s="324"/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6"/>
    </row>
    <row r="15" spans="1:24">
      <c r="A15" s="324"/>
      <c r="B15" s="325"/>
      <c r="C15" s="325"/>
      <c r="D15" s="325"/>
      <c r="E15" s="325"/>
      <c r="F15" s="325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6"/>
    </row>
    <row r="16" spans="1:24">
      <c r="A16" s="324"/>
      <c r="B16" s="325"/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6"/>
    </row>
    <row r="17" spans="1:24">
      <c r="A17" s="324"/>
      <c r="B17" s="325"/>
      <c r="C17" s="325"/>
      <c r="D17" s="325"/>
      <c r="E17" s="325"/>
      <c r="F17" s="325"/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6"/>
    </row>
    <row r="18" spans="1:24">
      <c r="A18" s="324"/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6"/>
    </row>
    <row r="19" spans="1:24">
      <c r="A19" s="324"/>
      <c r="B19" s="325"/>
      <c r="C19" s="325"/>
      <c r="D19" s="325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6"/>
    </row>
    <row r="20" spans="1:24">
      <c r="A20" s="324"/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6"/>
    </row>
    <row r="21" spans="1:24">
      <c r="A21" s="324"/>
      <c r="B21" s="325"/>
      <c r="C21" s="325"/>
      <c r="D21" s="325"/>
      <c r="E21" s="325"/>
      <c r="F21" s="325"/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6"/>
    </row>
    <row r="22" spans="1:24">
      <c r="A22" s="324"/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6"/>
    </row>
    <row r="23" spans="1:24">
      <c r="A23" s="324"/>
      <c r="B23" s="325"/>
      <c r="C23" s="325"/>
      <c r="D23" s="325"/>
      <c r="E23" s="325"/>
      <c r="F23" s="325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6"/>
    </row>
    <row r="24" spans="1:24">
      <c r="A24" s="324"/>
      <c r="B24" s="325"/>
      <c r="C24" s="325"/>
      <c r="D24" s="325"/>
      <c r="E24" s="325"/>
      <c r="F24" s="325"/>
      <c r="G24" s="325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6"/>
    </row>
    <row r="25" spans="1:24">
      <c r="A25" s="324"/>
      <c r="B25" s="325"/>
      <c r="C25" s="325"/>
      <c r="D25" s="325"/>
      <c r="E25" s="325"/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6"/>
    </row>
    <row r="26" spans="1:24" ht="3" customHeight="1">
      <c r="A26" s="324"/>
      <c r="B26" s="325"/>
      <c r="C26" s="325"/>
      <c r="D26" s="325"/>
      <c r="E26" s="325"/>
      <c r="F26" s="325"/>
      <c r="G26" s="325"/>
      <c r="H26" s="325"/>
      <c r="I26" s="325"/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6"/>
    </row>
    <row r="27" spans="1:24">
      <c r="A27" s="324"/>
      <c r="B27" s="325"/>
      <c r="C27" s="325"/>
      <c r="D27" s="325"/>
      <c r="E27" s="325"/>
      <c r="F27" s="325"/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6"/>
    </row>
    <row r="28" spans="1:24">
      <c r="A28" s="324"/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6"/>
    </row>
    <row r="29" spans="1:24">
      <c r="A29" s="324"/>
      <c r="B29" s="325"/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6"/>
    </row>
    <row r="30" spans="1:24">
      <c r="A30" s="324"/>
      <c r="B30" s="325"/>
      <c r="C30" s="325"/>
      <c r="D30" s="325"/>
      <c r="E30" s="325"/>
      <c r="F30" s="325"/>
      <c r="G30" s="325"/>
      <c r="H30" s="325"/>
      <c r="I30" s="325"/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6"/>
    </row>
    <row r="31" spans="1:24">
      <c r="A31" s="324"/>
      <c r="B31" s="325"/>
      <c r="C31" s="325"/>
      <c r="D31" s="325"/>
      <c r="E31" s="325"/>
      <c r="F31" s="325"/>
      <c r="G31" s="325"/>
      <c r="H31" s="325"/>
      <c r="I31" s="325"/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6"/>
    </row>
    <row r="32" spans="1:24">
      <c r="A32" s="324"/>
      <c r="B32" s="325"/>
      <c r="C32" s="325"/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6"/>
    </row>
    <row r="33" spans="1:24">
      <c r="A33" s="324"/>
      <c r="B33" s="325"/>
      <c r="C33" s="325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6"/>
    </row>
    <row r="34" spans="1:24">
      <c r="A34" s="324"/>
      <c r="B34" s="325"/>
      <c r="C34" s="325"/>
      <c r="D34" s="325"/>
      <c r="E34" s="325"/>
      <c r="F34" s="325"/>
      <c r="G34" s="325"/>
      <c r="H34" s="325"/>
      <c r="I34" s="325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6"/>
    </row>
    <row r="35" spans="1:24">
      <c r="A35" s="324"/>
      <c r="B35" s="325"/>
      <c r="C35" s="325"/>
      <c r="D35" s="325"/>
      <c r="E35" s="325"/>
      <c r="F35" s="325"/>
      <c r="G35" s="325"/>
      <c r="H35" s="325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6"/>
    </row>
    <row r="36" spans="1:24">
      <c r="A36" s="324"/>
      <c r="B36" s="325"/>
      <c r="C36" s="325"/>
      <c r="D36" s="325"/>
      <c r="E36" s="325"/>
      <c r="F36" s="325"/>
      <c r="G36" s="325"/>
      <c r="H36" s="325"/>
      <c r="I36" s="325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5"/>
      <c r="X36" s="326"/>
    </row>
    <row r="37" spans="1:24">
      <c r="A37" s="324"/>
      <c r="B37" s="325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6"/>
    </row>
    <row r="38" spans="1:24">
      <c r="A38" s="324"/>
      <c r="B38" s="325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</row>
    <row r="39" spans="1:24">
      <c r="A39" s="324"/>
      <c r="B39" s="325"/>
      <c r="C39" s="325"/>
      <c r="D39" s="325"/>
      <c r="E39" s="325"/>
      <c r="F39" s="325"/>
      <c r="G39" s="325"/>
      <c r="H39" s="325"/>
      <c r="I39" s="325"/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6"/>
    </row>
    <row r="40" spans="1:24">
      <c r="A40" s="324"/>
      <c r="B40" s="325"/>
      <c r="C40" s="325"/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25"/>
      <c r="X40" s="326"/>
    </row>
    <row r="41" spans="1:24">
      <c r="A41" s="324"/>
      <c r="B41" s="325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6"/>
    </row>
    <row r="42" spans="1:24">
      <c r="A42" s="324"/>
      <c r="B42" s="325"/>
      <c r="C42" s="325"/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6"/>
    </row>
    <row r="43" spans="1:24">
      <c r="A43" s="324"/>
      <c r="B43" s="325"/>
      <c r="C43" s="325"/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5"/>
      <c r="X43" s="326"/>
    </row>
    <row r="44" spans="1:24">
      <c r="A44" s="324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6"/>
    </row>
    <row r="45" spans="1:24">
      <c r="A45" s="324"/>
      <c r="B45" s="325"/>
      <c r="C45" s="325"/>
      <c r="D45" s="325"/>
      <c r="E45" s="325"/>
      <c r="F45" s="325"/>
      <c r="G45" s="325"/>
      <c r="H45" s="325"/>
      <c r="I45" s="325"/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5"/>
      <c r="X45" s="326"/>
    </row>
    <row r="46" spans="1:24">
      <c r="A46" s="324"/>
      <c r="B46" s="325"/>
      <c r="C46" s="325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6"/>
    </row>
    <row r="47" spans="1:24" ht="15" thickBot="1">
      <c r="A47" s="327"/>
      <c r="B47" s="328"/>
      <c r="C47" s="328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9"/>
    </row>
    <row r="48" spans="1:24" ht="15" thickTop="1"/>
  </sheetData>
  <mergeCells count="2">
    <mergeCell ref="A2:X2"/>
    <mergeCell ref="A3:X47"/>
  </mergeCell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B1:K49"/>
  <sheetViews>
    <sheetView topLeftCell="A4" zoomScale="80" zoomScaleNormal="80" workbookViewId="0">
      <selection activeCell="C6" sqref="C6"/>
    </sheetView>
  </sheetViews>
  <sheetFormatPr baseColWidth="10" defaultRowHeight="14.4"/>
  <cols>
    <col min="1" max="1" width="8.21875" customWidth="1"/>
    <col min="2" max="2" width="27.44140625" customWidth="1"/>
    <col min="3" max="3" width="13.77734375" customWidth="1"/>
    <col min="5" max="5" width="8" customWidth="1"/>
    <col min="6" max="6" width="27" customWidth="1"/>
    <col min="7" max="7" width="16.21875" customWidth="1"/>
  </cols>
  <sheetData>
    <row r="1" spans="2:8" ht="15" customHeight="1" thickBot="1"/>
    <row r="2" spans="2:8">
      <c r="B2" s="1" t="s">
        <v>23</v>
      </c>
      <c r="C2" s="4"/>
      <c r="G2">
        <f>(C7*C8)+(C7-1)*(C11/1000)</f>
        <v>-1.9E-2</v>
      </c>
      <c r="H2" t="s">
        <v>8</v>
      </c>
    </row>
    <row r="3" spans="2:8">
      <c r="B3" s="2" t="s">
        <v>6</v>
      </c>
      <c r="C3" s="5"/>
    </row>
    <row r="4" spans="2:8" ht="15" thickBot="1">
      <c r="B4" s="3" t="s">
        <v>7</v>
      </c>
      <c r="C4" s="6"/>
    </row>
    <row r="5" spans="2:8" ht="15" customHeight="1">
      <c r="B5" s="1" t="s">
        <v>0</v>
      </c>
      <c r="C5" s="4" t="s">
        <v>15</v>
      </c>
    </row>
    <row r="6" spans="2:8" ht="15" customHeight="1">
      <c r="B6" s="2" t="s">
        <v>1</v>
      </c>
      <c r="C6" s="94"/>
    </row>
    <row r="7" spans="2:8">
      <c r="B7" s="2" t="s">
        <v>2</v>
      </c>
      <c r="C7" s="94"/>
    </row>
    <row r="8" spans="2:8" ht="15" customHeight="1">
      <c r="B8" s="2" t="s">
        <v>3</v>
      </c>
      <c r="C8" s="94"/>
    </row>
    <row r="9" spans="2:8" ht="15" customHeight="1">
      <c r="B9" s="11" t="s">
        <v>4</v>
      </c>
      <c r="C9" s="95"/>
    </row>
    <row r="10" spans="2:8">
      <c r="B10" s="2" t="s">
        <v>5</v>
      </c>
      <c r="C10" s="94"/>
    </row>
    <row r="11" spans="2:8" ht="15" thickBot="1">
      <c r="B11" s="3" t="s">
        <v>13</v>
      </c>
      <c r="C11" s="96">
        <v>19</v>
      </c>
    </row>
    <row r="12" spans="2:8" ht="15" thickBot="1">
      <c r="D12">
        <f>(C6*C9)+(C6-1)*(C11/1000)</f>
        <v>-1.9E-2</v>
      </c>
      <c r="E12" t="s">
        <v>8</v>
      </c>
    </row>
    <row r="13" spans="2:8">
      <c r="B13" s="32" t="s">
        <v>24</v>
      </c>
      <c r="C13" s="33"/>
    </row>
    <row r="14" spans="2:8" ht="15" thickBot="1">
      <c r="B14" s="34" t="s">
        <v>273</v>
      </c>
      <c r="C14" s="35"/>
    </row>
    <row r="26" spans="3:9">
      <c r="C26" s="53" t="s">
        <v>19</v>
      </c>
      <c r="D26" s="99"/>
    </row>
    <row r="27" spans="3:9">
      <c r="C27" s="7"/>
      <c r="D27" s="7" t="s">
        <v>16</v>
      </c>
      <c r="E27" s="8"/>
      <c r="F27" s="8"/>
      <c r="G27" s="9"/>
      <c r="H27" s="97">
        <f>(C8/4)*1000</f>
        <v>0</v>
      </c>
      <c r="I27" s="9" t="s">
        <v>9</v>
      </c>
    </row>
    <row r="28" spans="3:9">
      <c r="C28" s="7"/>
      <c r="D28" s="7" t="s">
        <v>17</v>
      </c>
      <c r="E28" s="8"/>
      <c r="F28" s="8"/>
      <c r="G28" s="9"/>
      <c r="H28" s="97">
        <f>(C8/2)*1000</f>
        <v>0</v>
      </c>
      <c r="I28" s="9" t="s">
        <v>9</v>
      </c>
    </row>
    <row r="29" spans="3:9">
      <c r="C29" s="7"/>
      <c r="D29" s="7" t="s">
        <v>18</v>
      </c>
      <c r="E29" s="8"/>
      <c r="F29" s="8"/>
      <c r="G29" s="9"/>
      <c r="H29" s="97">
        <f>H28+C11</f>
        <v>19</v>
      </c>
      <c r="I29" s="9" t="s">
        <v>9</v>
      </c>
    </row>
    <row r="30" spans="3:9">
      <c r="D30" s="100"/>
      <c r="H30" s="10"/>
      <c r="I30" s="10"/>
    </row>
    <row r="31" spans="3:9">
      <c r="C31" s="53" t="s">
        <v>12</v>
      </c>
      <c r="D31" s="99"/>
    </row>
    <row r="32" spans="3:9">
      <c r="C32" s="31"/>
      <c r="D32" s="7" t="s">
        <v>10</v>
      </c>
      <c r="E32" s="8"/>
      <c r="F32" s="8"/>
      <c r="G32" s="9"/>
      <c r="H32" s="97">
        <f>(C9+(C11/1000/2))*1000</f>
        <v>9.5</v>
      </c>
      <c r="I32" s="9" t="s">
        <v>9</v>
      </c>
    </row>
    <row r="33" spans="3:11">
      <c r="C33" s="31"/>
      <c r="D33" s="7" t="s">
        <v>11</v>
      </c>
      <c r="E33" s="8"/>
      <c r="F33" s="8"/>
      <c r="G33" s="9"/>
      <c r="H33" s="97">
        <f>(C9+(C11/1000))*1000</f>
        <v>19</v>
      </c>
      <c r="I33" s="9" t="s">
        <v>9</v>
      </c>
    </row>
    <row r="35" spans="3:11">
      <c r="C35" s="31"/>
      <c r="D35" s="31" t="s">
        <v>22</v>
      </c>
      <c r="E35" s="8"/>
      <c r="F35" s="9"/>
    </row>
    <row r="36" spans="3:11">
      <c r="C36" s="31"/>
      <c r="D36" s="31" t="s">
        <v>14</v>
      </c>
      <c r="E36" s="8"/>
      <c r="F36" s="9"/>
    </row>
    <row r="37" spans="3:11" ht="16.5" customHeight="1">
      <c r="C37" s="12" t="s">
        <v>20</v>
      </c>
      <c r="D37" s="12"/>
      <c r="E37" s="12"/>
      <c r="F37" s="12"/>
      <c r="H37" s="12"/>
      <c r="J37" s="12"/>
      <c r="K37" s="12"/>
    </row>
    <row r="38" spans="3:11" ht="27.75" customHeight="1">
      <c r="C38" s="330" t="s">
        <v>21</v>
      </c>
      <c r="D38" s="330"/>
      <c r="E38" s="330"/>
      <c r="F38" s="330"/>
      <c r="G38" s="330"/>
      <c r="H38" s="330"/>
      <c r="I38" s="330"/>
    </row>
    <row r="48" spans="3:11">
      <c r="J48" s="12"/>
      <c r="K48" s="12"/>
    </row>
    <row r="49" spans="10:11" ht="27.75" customHeight="1">
      <c r="J49" s="12"/>
      <c r="K49" s="12"/>
    </row>
  </sheetData>
  <mergeCells count="1">
    <mergeCell ref="C38:I38"/>
  </mergeCells>
  <pageMargins left="0.31496062992125984" right="0.31496062992125984" top="0.74803149606299213" bottom="0.74803149606299213" header="0.31496062992125984" footer="0.31496062992125984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58"/>
  <sheetViews>
    <sheetView topLeftCell="A4" zoomScale="70" zoomScaleNormal="70" workbookViewId="0">
      <selection activeCell="A3" sqref="A3:W57"/>
    </sheetView>
  </sheetViews>
  <sheetFormatPr baseColWidth="10" defaultRowHeight="14.4"/>
  <sheetData>
    <row r="1" spans="1:23" ht="15" thickBot="1"/>
    <row r="2" spans="1:23" ht="33.6" thickTop="1" thickBot="1">
      <c r="A2" s="318" t="s">
        <v>268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20"/>
    </row>
    <row r="3" spans="1:23" ht="15" thickTop="1">
      <c r="A3" s="321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3"/>
    </row>
    <row r="4" spans="1:23">
      <c r="A4" s="324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6"/>
    </row>
    <row r="5" spans="1:23">
      <c r="A5" s="324"/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6"/>
    </row>
    <row r="6" spans="1:23">
      <c r="A6" s="324"/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6"/>
    </row>
    <row r="7" spans="1:23">
      <c r="A7" s="324"/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6"/>
    </row>
    <row r="8" spans="1:23">
      <c r="A8" s="324"/>
      <c r="B8" s="325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6"/>
    </row>
    <row r="9" spans="1:23">
      <c r="A9" s="324"/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6"/>
    </row>
    <row r="10" spans="1:23">
      <c r="A10" s="324"/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6"/>
    </row>
    <row r="11" spans="1:23">
      <c r="A11" s="324"/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6"/>
    </row>
    <row r="12" spans="1:23">
      <c r="A12" s="324"/>
      <c r="B12" s="325"/>
      <c r="C12" s="325"/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6"/>
    </row>
    <row r="13" spans="1:23">
      <c r="A13" s="324"/>
      <c r="B13" s="325"/>
      <c r="C13" s="325"/>
      <c r="D13" s="325"/>
      <c r="E13" s="325"/>
      <c r="F13" s="325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6"/>
    </row>
    <row r="14" spans="1:23">
      <c r="A14" s="324"/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6"/>
    </row>
    <row r="15" spans="1:23">
      <c r="A15" s="324"/>
      <c r="B15" s="325"/>
      <c r="C15" s="325"/>
      <c r="D15" s="325"/>
      <c r="E15" s="325"/>
      <c r="F15" s="325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6"/>
    </row>
    <row r="16" spans="1:23">
      <c r="A16" s="324"/>
      <c r="B16" s="325"/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6"/>
    </row>
    <row r="17" spans="1:23">
      <c r="A17" s="324"/>
      <c r="B17" s="325"/>
      <c r="C17" s="325"/>
      <c r="D17" s="325"/>
      <c r="E17" s="325"/>
      <c r="F17" s="325"/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6"/>
    </row>
    <row r="18" spans="1:23">
      <c r="A18" s="324"/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6"/>
    </row>
    <row r="19" spans="1:23">
      <c r="A19" s="324"/>
      <c r="B19" s="325"/>
      <c r="C19" s="325"/>
      <c r="D19" s="325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6"/>
    </row>
    <row r="20" spans="1:23">
      <c r="A20" s="324"/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6"/>
    </row>
    <row r="21" spans="1:23">
      <c r="A21" s="324"/>
      <c r="B21" s="325"/>
      <c r="C21" s="325"/>
      <c r="D21" s="325"/>
      <c r="E21" s="325"/>
      <c r="F21" s="325"/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6"/>
    </row>
    <row r="22" spans="1:23">
      <c r="A22" s="324"/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6"/>
    </row>
    <row r="23" spans="1:23">
      <c r="A23" s="324"/>
      <c r="B23" s="325"/>
      <c r="C23" s="325"/>
      <c r="D23" s="325"/>
      <c r="E23" s="325"/>
      <c r="F23" s="325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6"/>
    </row>
    <row r="24" spans="1:23">
      <c r="A24" s="324"/>
      <c r="B24" s="325"/>
      <c r="C24" s="325"/>
      <c r="D24" s="325"/>
      <c r="E24" s="325"/>
      <c r="F24" s="325"/>
      <c r="G24" s="325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6"/>
    </row>
    <row r="25" spans="1:23">
      <c r="A25" s="324"/>
      <c r="B25" s="325"/>
      <c r="C25" s="325"/>
      <c r="D25" s="325"/>
      <c r="E25" s="325"/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6"/>
    </row>
    <row r="26" spans="1:23">
      <c r="A26" s="324"/>
      <c r="B26" s="325"/>
      <c r="C26" s="325"/>
      <c r="D26" s="325"/>
      <c r="E26" s="325"/>
      <c r="F26" s="325"/>
      <c r="G26" s="325"/>
      <c r="H26" s="325"/>
      <c r="I26" s="325"/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6"/>
    </row>
    <row r="27" spans="1:23">
      <c r="A27" s="324"/>
      <c r="B27" s="325"/>
      <c r="C27" s="325"/>
      <c r="D27" s="325"/>
      <c r="E27" s="325"/>
      <c r="F27" s="325"/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6"/>
    </row>
    <row r="28" spans="1:23">
      <c r="A28" s="324"/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6"/>
    </row>
    <row r="29" spans="1:23">
      <c r="A29" s="324"/>
      <c r="B29" s="325"/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6"/>
    </row>
    <row r="30" spans="1:23">
      <c r="A30" s="324"/>
      <c r="B30" s="325"/>
      <c r="C30" s="325"/>
      <c r="D30" s="325"/>
      <c r="E30" s="325"/>
      <c r="F30" s="325"/>
      <c r="G30" s="325"/>
      <c r="H30" s="325"/>
      <c r="I30" s="325"/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6"/>
    </row>
    <row r="31" spans="1:23">
      <c r="A31" s="324"/>
      <c r="B31" s="325"/>
      <c r="C31" s="325"/>
      <c r="D31" s="325"/>
      <c r="E31" s="325"/>
      <c r="F31" s="325"/>
      <c r="G31" s="325"/>
      <c r="H31" s="325"/>
      <c r="I31" s="325"/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6"/>
    </row>
    <row r="32" spans="1:23">
      <c r="A32" s="324"/>
      <c r="B32" s="325"/>
      <c r="C32" s="325"/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6"/>
    </row>
    <row r="33" spans="1:23">
      <c r="A33" s="324"/>
      <c r="B33" s="325"/>
      <c r="C33" s="325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6"/>
    </row>
    <row r="34" spans="1:23">
      <c r="A34" s="324"/>
      <c r="B34" s="325"/>
      <c r="C34" s="325"/>
      <c r="D34" s="325"/>
      <c r="E34" s="325"/>
      <c r="F34" s="325"/>
      <c r="G34" s="325"/>
      <c r="H34" s="325"/>
      <c r="I34" s="325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6"/>
    </row>
    <row r="35" spans="1:23">
      <c r="A35" s="324"/>
      <c r="B35" s="325"/>
      <c r="C35" s="325"/>
      <c r="D35" s="325"/>
      <c r="E35" s="325"/>
      <c r="F35" s="325"/>
      <c r="G35" s="325"/>
      <c r="H35" s="325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6"/>
    </row>
    <row r="36" spans="1:23">
      <c r="A36" s="324"/>
      <c r="B36" s="325"/>
      <c r="C36" s="325"/>
      <c r="D36" s="325"/>
      <c r="E36" s="325"/>
      <c r="F36" s="325"/>
      <c r="G36" s="325"/>
      <c r="H36" s="325"/>
      <c r="I36" s="325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6"/>
    </row>
    <row r="37" spans="1:23">
      <c r="A37" s="324"/>
      <c r="B37" s="325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6"/>
    </row>
    <row r="38" spans="1:23">
      <c r="A38" s="324"/>
      <c r="B38" s="325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6"/>
    </row>
    <row r="39" spans="1:23">
      <c r="A39" s="324"/>
      <c r="B39" s="325"/>
      <c r="C39" s="325"/>
      <c r="D39" s="325"/>
      <c r="E39" s="325"/>
      <c r="F39" s="325"/>
      <c r="G39" s="325"/>
      <c r="H39" s="325"/>
      <c r="I39" s="325"/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6"/>
    </row>
    <row r="40" spans="1:23">
      <c r="A40" s="324"/>
      <c r="B40" s="325"/>
      <c r="C40" s="325"/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26"/>
    </row>
    <row r="41" spans="1:23">
      <c r="A41" s="324"/>
      <c r="B41" s="325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6"/>
    </row>
    <row r="42" spans="1:23">
      <c r="A42" s="324"/>
      <c r="B42" s="325"/>
      <c r="C42" s="325"/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6"/>
    </row>
    <row r="43" spans="1:23">
      <c r="A43" s="324"/>
      <c r="B43" s="325"/>
      <c r="C43" s="325"/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6"/>
    </row>
    <row r="44" spans="1:23">
      <c r="A44" s="324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6"/>
    </row>
    <row r="45" spans="1:23">
      <c r="A45" s="324"/>
      <c r="B45" s="325"/>
      <c r="C45" s="325"/>
      <c r="D45" s="325"/>
      <c r="E45" s="325"/>
      <c r="F45" s="325"/>
      <c r="G45" s="325"/>
      <c r="H45" s="325"/>
      <c r="I45" s="325"/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6"/>
    </row>
    <row r="46" spans="1:23">
      <c r="A46" s="324"/>
      <c r="B46" s="325"/>
      <c r="C46" s="325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6"/>
    </row>
    <row r="47" spans="1:23">
      <c r="A47" s="324"/>
      <c r="B47" s="325"/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6"/>
    </row>
    <row r="48" spans="1:23">
      <c r="A48" s="324"/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6"/>
    </row>
    <row r="49" spans="1:23">
      <c r="A49" s="324"/>
      <c r="B49" s="325"/>
      <c r="C49" s="325"/>
      <c r="D49" s="325"/>
      <c r="E49" s="325"/>
      <c r="F49" s="325"/>
      <c r="G49" s="325"/>
      <c r="H49" s="325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  <c r="V49" s="325"/>
      <c r="W49" s="326"/>
    </row>
    <row r="50" spans="1:23">
      <c r="A50" s="324"/>
      <c r="B50" s="325"/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6"/>
    </row>
    <row r="51" spans="1:23">
      <c r="A51" s="324"/>
      <c r="B51" s="325"/>
      <c r="C51" s="325"/>
      <c r="D51" s="325"/>
      <c r="E51" s="325"/>
      <c r="F51" s="325"/>
      <c r="G51" s="325"/>
      <c r="H51" s="325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6"/>
    </row>
    <row r="52" spans="1:23">
      <c r="A52" s="324"/>
      <c r="B52" s="325"/>
      <c r="C52" s="325"/>
      <c r="D52" s="325"/>
      <c r="E52" s="325"/>
      <c r="F52" s="325"/>
      <c r="G52" s="325"/>
      <c r="H52" s="325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6"/>
    </row>
    <row r="53" spans="1:23">
      <c r="A53" s="324"/>
      <c r="B53" s="325"/>
      <c r="C53" s="325"/>
      <c r="D53" s="325"/>
      <c r="E53" s="325"/>
      <c r="F53" s="325"/>
      <c r="G53" s="325"/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6"/>
    </row>
    <row r="54" spans="1:23">
      <c r="A54" s="324"/>
      <c r="B54" s="325"/>
      <c r="C54" s="325"/>
      <c r="D54" s="325"/>
      <c r="E54" s="325"/>
      <c r="F54" s="325"/>
      <c r="G54" s="325"/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6"/>
    </row>
    <row r="55" spans="1:23">
      <c r="A55" s="324"/>
      <c r="B55" s="325"/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25"/>
      <c r="W55" s="326"/>
    </row>
    <row r="56" spans="1:23">
      <c r="A56" s="324"/>
      <c r="B56" s="325"/>
      <c r="C56" s="325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6"/>
    </row>
    <row r="57" spans="1:23" ht="15" thickBot="1">
      <c r="A57" s="327"/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9"/>
    </row>
    <row r="58" spans="1:23" ht="15" thickTop="1"/>
  </sheetData>
  <mergeCells count="2">
    <mergeCell ref="A2:W2"/>
    <mergeCell ref="A3:W5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8"/>
  <dimension ref="B2:M37"/>
  <sheetViews>
    <sheetView zoomScale="80" zoomScaleNormal="80" workbookViewId="0">
      <selection activeCell="E19" sqref="E19"/>
    </sheetView>
  </sheetViews>
  <sheetFormatPr baseColWidth="10" defaultRowHeight="14.4"/>
  <cols>
    <col min="1" max="1" width="7.77734375" customWidth="1"/>
    <col min="2" max="2" width="27.5546875" customWidth="1"/>
    <col min="3" max="3" width="16" customWidth="1"/>
    <col min="4" max="4" width="10.21875" customWidth="1"/>
    <col min="5" max="5" width="11.44140625" customWidth="1"/>
    <col min="6" max="6" width="8.21875" customWidth="1"/>
    <col min="7" max="7" width="26.21875" customWidth="1"/>
    <col min="8" max="8" width="15.5546875" customWidth="1"/>
    <col min="10" max="10" width="11.44140625" customWidth="1"/>
    <col min="11" max="11" width="13.21875" customWidth="1"/>
  </cols>
  <sheetData>
    <row r="2" spans="2:13" ht="15" thickBot="1">
      <c r="H2">
        <f>(C8*C10)+(C8-1)*(C12/1000)</f>
        <v>-1.9E-2</v>
      </c>
      <c r="I2" t="s">
        <v>8</v>
      </c>
      <c r="M2" s="40"/>
    </row>
    <row r="3" spans="2:13">
      <c r="B3" s="1" t="s">
        <v>23</v>
      </c>
      <c r="C3" s="4"/>
      <c r="D3" s="39"/>
    </row>
    <row r="4" spans="2:13">
      <c r="B4" s="2" t="s">
        <v>6</v>
      </c>
      <c r="C4" s="5"/>
      <c r="D4" s="39"/>
    </row>
    <row r="5" spans="2:13" ht="15" customHeight="1" thickBot="1">
      <c r="B5" s="3" t="s">
        <v>7</v>
      </c>
      <c r="C5" s="6"/>
      <c r="D5" s="39"/>
    </row>
    <row r="6" spans="2:13" ht="15" customHeight="1">
      <c r="B6" s="1" t="s">
        <v>0</v>
      </c>
      <c r="C6" s="98" t="s">
        <v>128</v>
      </c>
      <c r="D6" s="39"/>
    </row>
    <row r="7" spans="2:13">
      <c r="B7" s="2" t="s">
        <v>1</v>
      </c>
      <c r="C7" s="94"/>
      <c r="D7" s="39"/>
    </row>
    <row r="8" spans="2:13">
      <c r="B8" s="2" t="s">
        <v>2</v>
      </c>
      <c r="C8" s="94"/>
      <c r="D8" s="39"/>
    </row>
    <row r="9" spans="2:13">
      <c r="B9" s="2" t="s">
        <v>3</v>
      </c>
      <c r="C9" s="94"/>
      <c r="D9" s="39"/>
    </row>
    <row r="10" spans="2:13">
      <c r="B10" s="11" t="s">
        <v>4</v>
      </c>
      <c r="C10" s="95"/>
      <c r="D10" s="39"/>
    </row>
    <row r="11" spans="2:13">
      <c r="B11" s="2" t="s">
        <v>5</v>
      </c>
      <c r="C11" s="94"/>
      <c r="D11" s="39"/>
      <c r="E11">
        <f>(C7*C9)+(C7-1)*(C12/1000)</f>
        <v>-1.9E-2</v>
      </c>
      <c r="F11" t="s">
        <v>8</v>
      </c>
    </row>
    <row r="12" spans="2:13" ht="15" thickBot="1">
      <c r="B12" s="3" t="s">
        <v>13</v>
      </c>
      <c r="C12" s="96">
        <v>19</v>
      </c>
      <c r="D12" s="39"/>
    </row>
    <row r="13" spans="2:13" ht="15" thickBot="1"/>
    <row r="14" spans="2:13">
      <c r="B14" s="32" t="s">
        <v>24</v>
      </c>
      <c r="C14" s="33"/>
    </row>
    <row r="15" spans="2:13" ht="15" thickBot="1">
      <c r="B15" s="34" t="s">
        <v>273</v>
      </c>
      <c r="C15" s="35"/>
    </row>
    <row r="27" spans="6:10">
      <c r="F27" s="331" t="s">
        <v>12</v>
      </c>
      <c r="G27" s="332"/>
    </row>
    <row r="28" spans="6:10">
      <c r="F28" s="31"/>
      <c r="G28" s="8" t="s">
        <v>133</v>
      </c>
      <c r="H28" s="8"/>
      <c r="I28" s="97">
        <f>(C9/4)*1000</f>
        <v>0</v>
      </c>
      <c r="J28" s="9" t="s">
        <v>9</v>
      </c>
    </row>
    <row r="29" spans="6:10">
      <c r="F29" s="31"/>
      <c r="G29" s="8" t="s">
        <v>132</v>
      </c>
      <c r="H29" s="8"/>
      <c r="I29" s="97">
        <f>(C9/2)*1000</f>
        <v>0</v>
      </c>
      <c r="J29" s="9" t="s">
        <v>9</v>
      </c>
    </row>
    <row r="30" spans="6:10">
      <c r="F30" s="31"/>
      <c r="G30" s="8" t="s">
        <v>131</v>
      </c>
      <c r="H30" s="8"/>
      <c r="I30" s="97">
        <f>I29+C12</f>
        <v>19</v>
      </c>
      <c r="J30" s="9" t="s">
        <v>9</v>
      </c>
    </row>
    <row r="31" spans="6:10">
      <c r="G31" s="8"/>
      <c r="H31" s="10"/>
      <c r="I31" s="10"/>
      <c r="J31" s="10"/>
    </row>
    <row r="32" spans="6:10">
      <c r="F32" s="331" t="s">
        <v>130</v>
      </c>
      <c r="G32" s="332"/>
    </row>
    <row r="33" spans="5:10">
      <c r="F33" s="31"/>
      <c r="G33" s="8" t="s">
        <v>10</v>
      </c>
      <c r="H33" s="8"/>
      <c r="I33" s="97">
        <f>(C10+(C12/1000/2))*1000</f>
        <v>9.5</v>
      </c>
      <c r="J33" s="9" t="s">
        <v>9</v>
      </c>
    </row>
    <row r="34" spans="5:10">
      <c r="F34" s="31"/>
      <c r="G34" s="8" t="s">
        <v>11</v>
      </c>
      <c r="H34" s="8"/>
      <c r="I34" s="97">
        <f>(C10+(C12/1000))*1000</f>
        <v>19</v>
      </c>
      <c r="J34" s="9" t="s">
        <v>9</v>
      </c>
    </row>
    <row r="35" spans="5:10">
      <c r="G35" s="8"/>
      <c r="H35" s="10"/>
      <c r="I35" s="10"/>
    </row>
    <row r="36" spans="5:10">
      <c r="E36" s="38"/>
      <c r="F36" s="31"/>
      <c r="G36" s="37" t="s">
        <v>129</v>
      </c>
    </row>
    <row r="37" spans="5:10">
      <c r="F37" s="31"/>
      <c r="G37" s="8" t="s">
        <v>14</v>
      </c>
      <c r="H37" s="36"/>
    </row>
  </sheetData>
  <mergeCells count="2">
    <mergeCell ref="F27:G27"/>
    <mergeCell ref="F32:G32"/>
  </mergeCells>
  <pageMargins left="0.31496062992125984" right="0.31496062992125984" top="0.74803149606299213" bottom="0.74803149606299213" header="0.31496062992125984" footer="0.31496062992125984"/>
  <pageSetup paperSize="9"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74"/>
  <sheetViews>
    <sheetView tabSelected="1" topLeftCell="B17" zoomScale="80" zoomScaleNormal="80" workbookViewId="0">
      <selection activeCell="F9" sqref="F9"/>
    </sheetView>
  </sheetViews>
  <sheetFormatPr baseColWidth="10" defaultRowHeight="14.4"/>
  <cols>
    <col min="1" max="1" width="5.21875" hidden="1" customWidth="1"/>
    <col min="2" max="2" width="4.21875" customWidth="1"/>
    <col min="3" max="3" width="47.44140625" style="18" bestFit="1" customWidth="1"/>
    <col min="4" max="4" width="11.44140625" style="18"/>
    <col min="5" max="5" width="9.5546875" style="18" hidden="1" customWidth="1"/>
    <col min="6" max="6" width="8.5546875" style="18" customWidth="1"/>
    <col min="7" max="8" width="8.5546875" style="18" hidden="1" customWidth="1"/>
    <col min="9" max="9" width="8.5546875" style="18" customWidth="1"/>
    <col min="10" max="10" width="47.44140625" bestFit="1" customWidth="1"/>
    <col min="13" max="14" width="8.21875" hidden="1" customWidth="1"/>
  </cols>
  <sheetData>
    <row r="1" spans="1:14" ht="32.25" customHeight="1">
      <c r="C1" s="333" t="s">
        <v>259</v>
      </c>
      <c r="D1" s="333"/>
      <c r="E1" s="333"/>
      <c r="F1" s="333"/>
      <c r="G1" s="333"/>
      <c r="H1" s="333"/>
      <c r="I1" s="333"/>
      <c r="J1" s="333"/>
      <c r="K1" s="333"/>
      <c r="L1" s="333"/>
    </row>
    <row r="2" spans="1:14" ht="15" thickBot="1"/>
    <row r="3" spans="1:14" ht="15" customHeight="1">
      <c r="C3" s="342" t="s">
        <v>139</v>
      </c>
      <c r="D3" s="343"/>
      <c r="E3" s="343"/>
      <c r="F3" s="344"/>
      <c r="J3" s="342" t="s">
        <v>140</v>
      </c>
      <c r="K3" s="343"/>
      <c r="L3" s="344"/>
    </row>
    <row r="4" spans="1:14" ht="15.75" customHeight="1" thickBot="1">
      <c r="A4" t="s">
        <v>33</v>
      </c>
      <c r="C4" s="345"/>
      <c r="D4" s="346"/>
      <c r="E4" s="346"/>
      <c r="F4" s="347"/>
      <c r="J4" s="345"/>
      <c r="K4" s="346"/>
      <c r="L4" s="347"/>
    </row>
    <row r="5" spans="1:14" ht="15.75" customHeight="1" thickBot="1">
      <c r="A5" t="s">
        <v>65</v>
      </c>
      <c r="C5" s="174"/>
      <c r="D5" s="174"/>
      <c r="E5" s="174"/>
      <c r="F5" s="174"/>
      <c r="J5" s="174"/>
      <c r="K5" s="174"/>
      <c r="L5" s="174"/>
    </row>
    <row r="6" spans="1:14" ht="15" thickBot="1">
      <c r="C6" s="337" t="s">
        <v>188</v>
      </c>
      <c r="D6" s="338"/>
      <c r="E6" s="338"/>
      <c r="F6" s="339"/>
      <c r="J6" s="337" t="s">
        <v>189</v>
      </c>
      <c r="K6" s="338"/>
      <c r="L6" s="339"/>
    </row>
    <row r="7" spans="1:14">
      <c r="C7" s="340" t="s">
        <v>15</v>
      </c>
      <c r="D7" s="340"/>
      <c r="E7" s="175"/>
      <c r="F7" s="101" t="s">
        <v>25</v>
      </c>
      <c r="G7" s="176"/>
      <c r="H7" s="40"/>
      <c r="J7" s="341" t="s">
        <v>128</v>
      </c>
      <c r="K7" s="341"/>
      <c r="L7" s="177" t="s">
        <v>25</v>
      </c>
      <c r="M7" s="178"/>
      <c r="N7" s="178"/>
    </row>
    <row r="8" spans="1:14">
      <c r="A8">
        <v>30</v>
      </c>
      <c r="C8" s="336" t="s">
        <v>26</v>
      </c>
      <c r="D8" s="336"/>
      <c r="E8" s="179"/>
      <c r="F8" s="14">
        <v>0</v>
      </c>
      <c r="G8" s="19"/>
      <c r="H8" s="180"/>
      <c r="J8" s="336" t="s">
        <v>26</v>
      </c>
      <c r="K8" s="336"/>
      <c r="L8" s="42">
        <v>0</v>
      </c>
      <c r="M8" s="181"/>
      <c r="N8" s="182"/>
    </row>
    <row r="9" spans="1:14" ht="14.25" customHeight="1">
      <c r="A9">
        <v>31</v>
      </c>
      <c r="C9" s="336" t="s">
        <v>27</v>
      </c>
      <c r="D9" s="336"/>
      <c r="E9" s="179"/>
      <c r="F9" s="14">
        <v>0</v>
      </c>
      <c r="G9" s="19"/>
      <c r="H9" s="180"/>
      <c r="J9" s="336" t="s">
        <v>27</v>
      </c>
      <c r="K9" s="336"/>
      <c r="L9" s="42">
        <v>0</v>
      </c>
      <c r="M9" s="181"/>
      <c r="N9" s="182"/>
    </row>
    <row r="10" spans="1:14">
      <c r="A10">
        <v>32</v>
      </c>
      <c r="C10" s="336" t="s">
        <v>28</v>
      </c>
      <c r="D10" s="336"/>
      <c r="E10" s="179"/>
      <c r="F10" s="14">
        <v>0</v>
      </c>
      <c r="G10" s="19"/>
      <c r="H10" s="180"/>
      <c r="J10" s="336" t="s">
        <v>28</v>
      </c>
      <c r="K10" s="336"/>
      <c r="L10" s="42">
        <v>0</v>
      </c>
      <c r="M10" s="181"/>
      <c r="N10" s="182"/>
    </row>
    <row r="11" spans="1:14">
      <c r="A11">
        <v>33</v>
      </c>
      <c r="C11" s="336" t="s">
        <v>29</v>
      </c>
      <c r="D11" s="336"/>
      <c r="E11" s="179"/>
      <c r="F11" s="14">
        <v>30</v>
      </c>
      <c r="G11" s="19"/>
      <c r="H11" s="180"/>
      <c r="J11" s="336" t="s">
        <v>136</v>
      </c>
      <c r="K11" s="336"/>
      <c r="L11" s="14">
        <v>30</v>
      </c>
      <c r="M11" s="181"/>
      <c r="N11" s="182"/>
    </row>
    <row r="12" spans="1:14">
      <c r="A12">
        <v>34</v>
      </c>
      <c r="C12" s="336" t="s">
        <v>270</v>
      </c>
      <c r="D12" s="336"/>
      <c r="E12" s="179"/>
      <c r="F12" s="14" t="s">
        <v>33</v>
      </c>
      <c r="G12" s="19"/>
      <c r="H12" s="180"/>
      <c r="J12" s="336" t="s">
        <v>270</v>
      </c>
      <c r="K12" s="336"/>
      <c r="L12" s="14" t="s">
        <v>33</v>
      </c>
      <c r="M12" s="181"/>
      <c r="N12" s="182"/>
    </row>
    <row r="13" spans="1:14">
      <c r="A13">
        <v>35</v>
      </c>
      <c r="C13" s="336" t="s">
        <v>272</v>
      </c>
      <c r="D13" s="336"/>
      <c r="E13" s="179"/>
      <c r="F13" s="14" t="s">
        <v>33</v>
      </c>
      <c r="G13" s="19"/>
      <c r="H13" s="180"/>
      <c r="J13" s="331" t="s">
        <v>272</v>
      </c>
      <c r="K13" s="332"/>
      <c r="L13" s="14" t="s">
        <v>33</v>
      </c>
      <c r="M13" s="181"/>
      <c r="N13" s="182"/>
    </row>
    <row r="14" spans="1:14">
      <c r="A14">
        <v>36</v>
      </c>
      <c r="C14" s="336" t="s">
        <v>146</v>
      </c>
      <c r="D14" s="336"/>
      <c r="E14" s="179"/>
      <c r="F14" s="15">
        <v>0</v>
      </c>
      <c r="G14" s="16"/>
      <c r="H14"/>
      <c r="J14" s="336" t="s">
        <v>135</v>
      </c>
      <c r="K14" s="336"/>
      <c r="L14" s="15">
        <v>0</v>
      </c>
      <c r="M14" s="183"/>
      <c r="N14" s="184"/>
    </row>
    <row r="15" spans="1:14">
      <c r="A15">
        <v>37</v>
      </c>
      <c r="C15" s="334" t="s">
        <v>274</v>
      </c>
      <c r="D15" s="334"/>
      <c r="E15" s="179"/>
      <c r="F15" s="239" t="s">
        <v>65</v>
      </c>
      <c r="G15" s="185"/>
      <c r="H15"/>
      <c r="J15" s="334" t="s">
        <v>252</v>
      </c>
      <c r="K15" s="334"/>
      <c r="L15" s="239" t="s">
        <v>65</v>
      </c>
      <c r="M15" s="181"/>
      <c r="N15" s="182"/>
    </row>
    <row r="16" spans="1:14" ht="15" thickBot="1">
      <c r="A16">
        <v>38</v>
      </c>
      <c r="C16"/>
      <c r="D16"/>
      <c r="E16"/>
      <c r="H16"/>
      <c r="J16" s="335"/>
      <c r="K16" s="335"/>
      <c r="L16" s="41"/>
      <c r="M16" s="41"/>
      <c r="N16" s="186"/>
    </row>
    <row r="17" spans="1:14">
      <c r="A17">
        <v>39</v>
      </c>
      <c r="C17" s="187" t="s">
        <v>34</v>
      </c>
      <c r="D17" s="188" t="s">
        <v>35</v>
      </c>
      <c r="E17" s="188"/>
      <c r="F17" s="188" t="s">
        <v>25</v>
      </c>
      <c r="G17" s="80" t="str">
        <f>IF(H17="","",H17*F14)</f>
        <v/>
      </c>
      <c r="H17" s="81"/>
      <c r="I17"/>
      <c r="J17" s="189" t="s">
        <v>34</v>
      </c>
      <c r="K17" s="189" t="s">
        <v>35</v>
      </c>
      <c r="L17" s="177" t="s">
        <v>25</v>
      </c>
      <c r="M17" s="178"/>
      <c r="N17" s="178"/>
    </row>
    <row r="18" spans="1:14">
      <c r="A18">
        <v>40</v>
      </c>
      <c r="C18" s="67" t="s">
        <v>38</v>
      </c>
      <c r="D18" s="60">
        <v>1</v>
      </c>
      <c r="E18" s="102">
        <f>F18</f>
        <v>0</v>
      </c>
      <c r="F18" s="74">
        <f>IF(H18="","",ROUNDUP(G18+H18,0))</f>
        <v>0</v>
      </c>
      <c r="G18" s="75">
        <f>IF(H18="","",H18*F14)</f>
        <v>0</v>
      </c>
      <c r="H18" s="82">
        <f>IF(OR(F15="oui",F15=""),"",IF((F15="non"),IF(OR(F8="",F10=""),"",(F8+F10)*2)))</f>
        <v>0</v>
      </c>
      <c r="I18"/>
      <c r="J18" s="59" t="s">
        <v>134</v>
      </c>
      <c r="K18" s="60">
        <v>1</v>
      </c>
      <c r="L18" s="61">
        <f>IF(N18="","",ROUNDUP(N18+M18+1,0))</f>
        <v>1</v>
      </c>
      <c r="M18" s="61">
        <f>IF(N18="","",N18*L14)</f>
        <v>0</v>
      </c>
      <c r="N18" s="62">
        <f>IF(OR(L8="",L9=""),"",IF(L15="non",((L8*2)+(L9*2)),IF(L15="oui",((L8*2)+(L10*2)))))</f>
        <v>0</v>
      </c>
    </row>
    <row r="19" spans="1:14">
      <c r="A19">
        <v>41</v>
      </c>
      <c r="C19" s="67" t="s">
        <v>249</v>
      </c>
      <c r="D19" s="60">
        <v>1</v>
      </c>
      <c r="E19" s="102" t="str">
        <f>F19</f>
        <v/>
      </c>
      <c r="F19" s="74" t="str">
        <f>IF(H19="","",ROUNDUP(G19+H19,0))</f>
        <v/>
      </c>
      <c r="G19" s="75" t="str">
        <f>IF(H19="","",H19*F14)</f>
        <v/>
      </c>
      <c r="H19" s="82" t="str">
        <f>IF(OR(F15="non",F15=""),"",IF((F15="oui"),IF(OR(F8="",F10=""),"",(F8+F10)*2)))</f>
        <v/>
      </c>
      <c r="I19"/>
      <c r="J19" s="59" t="s">
        <v>253</v>
      </c>
      <c r="K19" s="60">
        <v>1</v>
      </c>
      <c r="L19" s="61" t="str">
        <f>IF(N19="","",ROUNDUP(N19+M19+1,0))</f>
        <v/>
      </c>
      <c r="M19" s="61" t="str">
        <f>IF(N19="","",N19*L14)</f>
        <v/>
      </c>
      <c r="N19" s="62" t="str">
        <f>IF(L15="oui",N18,"")</f>
        <v/>
      </c>
    </row>
    <row r="20" spans="1:14" ht="15" thickBot="1">
      <c r="A20">
        <v>42</v>
      </c>
      <c r="C20" s="69" t="s">
        <v>39</v>
      </c>
      <c r="D20" s="70">
        <v>100</v>
      </c>
      <c r="E20" s="104">
        <f>F20</f>
        <v>0</v>
      </c>
      <c r="F20" s="190">
        <f>IF(H20="","",ROUNDUP(G20+H20,0))</f>
        <v>0</v>
      </c>
      <c r="G20" s="191">
        <f>IF(H20="","",H20*F14)</f>
        <v>0</v>
      </c>
      <c r="H20" s="85">
        <f>IF(AND(H18="",H19=""),"",IF(H18&lt;&gt;"",(H18*3)/100,IF(H19&lt;&gt;"",(H19*3)/100)))</f>
        <v>0</v>
      </c>
      <c r="I20"/>
      <c r="J20" s="77" t="s">
        <v>39</v>
      </c>
      <c r="K20" s="78">
        <v>100</v>
      </c>
      <c r="L20" s="192">
        <f>IF(N20="","",ROUNDUP(N20+M20,0))</f>
        <v>1</v>
      </c>
      <c r="M20" s="316">
        <f>IF(N20="","",N20*L14)</f>
        <v>0</v>
      </c>
      <c r="N20" s="317">
        <f>IF(N18="","",(L18*4)/100)</f>
        <v>0.04</v>
      </c>
    </row>
    <row r="21" spans="1:14" ht="15" thickBot="1">
      <c r="A21">
        <v>43</v>
      </c>
      <c r="C21" s="312" t="s">
        <v>271</v>
      </c>
      <c r="D21" s="64">
        <v>1</v>
      </c>
      <c r="E21" s="194">
        <f t="shared" ref="E21:E41" si="0">F21</f>
        <v>0</v>
      </c>
      <c r="F21" s="195">
        <f t="shared" ref="F21:F33" si="1">IF(H21="","",ROUNDUP(H21+G21,0))</f>
        <v>0</v>
      </c>
      <c r="G21" s="196">
        <f t="shared" ref="G21" si="2">IF(H21="","",H21*$F$14)</f>
        <v>0</v>
      </c>
      <c r="H21" s="197">
        <f>IF(AND(F12="oui",F13="oui",F15="non"),H18-(F10*4),IF(AND(F12="oui",F13="oui",F15="oui"),H19-(F10*4),""))</f>
        <v>0</v>
      </c>
      <c r="I21"/>
      <c r="J21" s="312" t="s">
        <v>271</v>
      </c>
      <c r="K21" s="198">
        <v>1</v>
      </c>
      <c r="L21" s="199">
        <f t="shared" ref="L21:L40" si="3">IF(N21="","",ROUNDUP(N21+M21,0))</f>
        <v>0</v>
      </c>
      <c r="M21" s="199">
        <f>IF(N21="","",N21*L14)</f>
        <v>0</v>
      </c>
      <c r="N21" s="200">
        <f>IF(AND(L12="oui",L13="oui",L15="non"),((L8-L9)*2),"")</f>
        <v>0</v>
      </c>
    </row>
    <row r="22" spans="1:14">
      <c r="A22">
        <v>44</v>
      </c>
      <c r="C22" s="313" t="s">
        <v>263</v>
      </c>
      <c r="D22" s="64">
        <v>1</v>
      </c>
      <c r="E22" s="103" t="str">
        <f t="shared" si="0"/>
        <v/>
      </c>
      <c r="F22" s="87" t="str">
        <f t="shared" si="1"/>
        <v/>
      </c>
      <c r="G22" s="201" t="str">
        <f>IF(H22="","",H22*$F$14)</f>
        <v/>
      </c>
      <c r="H22" s="173" t="str">
        <f>IF(F13="oui","",IF(AND(AND(F11&gt;=30,F11&lt;=34),F12="oui",F13="non",F15="non"),H18-(F10*4),IF(AND(AND(F11&gt;=30,F11&lt;=34),F12="oui",F13="non",F15="oui"),H19-(F10*4),"")))</f>
        <v/>
      </c>
      <c r="I22"/>
      <c r="J22" s="313" t="s">
        <v>263</v>
      </c>
      <c r="K22" s="89">
        <v>1</v>
      </c>
      <c r="L22" s="73" t="str">
        <f t="shared" si="3"/>
        <v/>
      </c>
      <c r="M22" s="73" t="str">
        <f>IF(N22="","",N22*L14)</f>
        <v/>
      </c>
      <c r="N22" s="202" t="str">
        <f>IF(L13="oui","",IF(AND(L11&gt;=30,L11&lt;=34,L12="oui",L15="non"),((L8-L9)*2),IF(AND(AND(L11&gt;=30,L11&lt;=32),L12="oui",L15="oui"),((L8-L10)*2),"")))</f>
        <v/>
      </c>
    </row>
    <row r="23" spans="1:14">
      <c r="A23">
        <v>45</v>
      </c>
      <c r="C23" s="67" t="s">
        <v>264</v>
      </c>
      <c r="D23" s="60">
        <v>1</v>
      </c>
      <c r="E23" s="102" t="str">
        <f t="shared" si="0"/>
        <v/>
      </c>
      <c r="F23" s="76" t="str">
        <f t="shared" si="1"/>
        <v/>
      </c>
      <c r="G23" s="201" t="str">
        <f t="shared" ref="G23:G26" si="4">IF(H23="","",H23*$F$14)</f>
        <v/>
      </c>
      <c r="H23" s="82" t="str">
        <f>IF(F13="oui","",IF(AND(AND(F11&gt;=35,F11&lt;=39),F12="oui",F15="non"),H18-(F10*4),IF(AND(AND(F11&gt;=35,F11&lt;=39),F12="oui",F15="oui"),H19-(F10*4),"")))</f>
        <v/>
      </c>
      <c r="I23"/>
      <c r="J23" s="67" t="s">
        <v>264</v>
      </c>
      <c r="K23" s="60">
        <v>1</v>
      </c>
      <c r="L23" s="61" t="str">
        <f t="shared" si="3"/>
        <v/>
      </c>
      <c r="M23" s="61" t="str">
        <f>IF(N23="","",N23*L14)</f>
        <v/>
      </c>
      <c r="N23" s="68" t="str">
        <f>IF(L13="oui","",IF(AND(L11&gt;=35,L11&lt;=39,L12="oui",L15="non"),((L8-L9)*2),IF(AND(AND(L11&gt;=33,L11&lt;=37),L12="oui",L15="oui"),((L8-L10)*2),"")))</f>
        <v/>
      </c>
    </row>
    <row r="24" spans="1:14">
      <c r="A24">
        <v>46</v>
      </c>
      <c r="C24" s="67" t="s">
        <v>265</v>
      </c>
      <c r="D24" s="60">
        <v>1</v>
      </c>
      <c r="E24" s="102" t="str">
        <f t="shared" si="0"/>
        <v/>
      </c>
      <c r="F24" s="76" t="str">
        <f t="shared" si="1"/>
        <v/>
      </c>
      <c r="G24" s="201" t="str">
        <f t="shared" si="4"/>
        <v/>
      </c>
      <c r="H24" s="82" t="str">
        <f>IF(F13="oui","",IF(AND(AND(F11&gt;=40,F11&lt;=44),F12="oui",F15="non"),H18-(F10*4),IF(AND(AND(F11&gt;=40,F11&lt;=44),F12="oui",F15="oui"),H19-(F10*4),"")))</f>
        <v/>
      </c>
      <c r="I24"/>
      <c r="J24" s="67" t="s">
        <v>265</v>
      </c>
      <c r="K24" s="60">
        <v>1</v>
      </c>
      <c r="L24" s="61" t="str">
        <f t="shared" si="3"/>
        <v/>
      </c>
      <c r="M24" s="61" t="str">
        <f>IF(N24="","",N24*L14)</f>
        <v/>
      </c>
      <c r="N24" s="68" t="str">
        <f>IF(L13="oui","",IF(AND(L11&gt;=40,L11&lt;=44,L12="oui",L15="non"),((L8-L9)*2),IF(AND(AND(L11&gt;=38,L11&lt;=42),L12="oui",L15="oui"),((L8-L10)*2),"")))</f>
        <v/>
      </c>
    </row>
    <row r="25" spans="1:14">
      <c r="A25">
        <v>47</v>
      </c>
      <c r="C25" s="67" t="s">
        <v>266</v>
      </c>
      <c r="D25" s="60">
        <v>1</v>
      </c>
      <c r="E25" s="102" t="str">
        <f t="shared" si="0"/>
        <v/>
      </c>
      <c r="F25" s="76" t="str">
        <f t="shared" si="1"/>
        <v/>
      </c>
      <c r="G25" s="201" t="str">
        <f t="shared" si="4"/>
        <v/>
      </c>
      <c r="H25" s="82" t="str">
        <f>IF(F13="oui","",IF(AND(AND(F11&gt;=45,F11&lt;=49),F12="oui",F15="non"),H18-(F10*4),IF(AND(AND(F11&gt;=45,F11&lt;=49),F12="oui",F15="oui"),H19-(F10*4),"")))</f>
        <v/>
      </c>
      <c r="I25"/>
      <c r="J25" s="67" t="s">
        <v>266</v>
      </c>
      <c r="K25" s="60">
        <v>1</v>
      </c>
      <c r="L25" s="61" t="str">
        <f t="shared" si="3"/>
        <v/>
      </c>
      <c r="M25" s="61" t="str">
        <f>IF(N25="","",N25*L14)</f>
        <v/>
      </c>
      <c r="N25" s="68" t="str">
        <f>IF(L13="oui","",IF(AND(L11&gt;=45,L11&lt;=49,L12="oui",L15="non"),((L8-L9)*2),IF(AND(AND(L11&gt;=43,L11&lt;=47),L12="oui",L15="oui"),((L8-L10)*2),"")))</f>
        <v/>
      </c>
    </row>
    <row r="26" spans="1:14" ht="15" thickBot="1">
      <c r="A26">
        <v>48</v>
      </c>
      <c r="C26" s="69" t="s">
        <v>267</v>
      </c>
      <c r="D26" s="70">
        <v>1</v>
      </c>
      <c r="E26" s="104" t="str">
        <f t="shared" si="0"/>
        <v/>
      </c>
      <c r="F26" s="83" t="str">
        <f t="shared" si="1"/>
        <v/>
      </c>
      <c r="G26" s="201" t="str">
        <f t="shared" si="4"/>
        <v/>
      </c>
      <c r="H26" s="85" t="str">
        <f>IF(F13="oui","",IF(AND(F11=50,F12="oui",F15="non"),H18-(F10*4),IF(AND(F11=50,F12="oui",F15="oui"),H19-(F10*4),"")))</f>
        <v/>
      </c>
      <c r="I26"/>
      <c r="J26" s="69" t="s">
        <v>267</v>
      </c>
      <c r="K26" s="70">
        <v>1</v>
      </c>
      <c r="L26" s="71" t="str">
        <f t="shared" si="3"/>
        <v/>
      </c>
      <c r="M26" s="71" t="str">
        <f>IF(N26="","",N26*L14)</f>
        <v/>
      </c>
      <c r="N26" s="72" t="str">
        <f>IF(L13="oui","",IF(AND(L11=50,L12="oui",L15="non"),((L8-L9)*2),IF(AND(AND(L11&gt;=48,L11&lt;=50),L12="oui",L15="oui"),((L8-L10)*2),"")))</f>
        <v/>
      </c>
    </row>
    <row r="27" spans="1:14">
      <c r="A27">
        <v>49</v>
      </c>
      <c r="C27" s="63" t="s">
        <v>40</v>
      </c>
      <c r="D27" s="64">
        <v>1</v>
      </c>
      <c r="E27" s="103" t="str">
        <f t="shared" si="0"/>
        <v/>
      </c>
      <c r="F27" s="79" t="str">
        <f t="shared" si="1"/>
        <v/>
      </c>
      <c r="G27" s="80" t="str">
        <f>IF(H27="","",H27*$F$14)</f>
        <v/>
      </c>
      <c r="H27" s="81" t="str">
        <f>IF(F13="oui","",IF(AND(OR(F11=30,F11=31),F12="non",F15="non"),H18-(F10*4),IF(AND(OR(F11=30,F11=31),F12="non",F15="oui"),H19-(F10*4),"")))</f>
        <v/>
      </c>
      <c r="I27"/>
      <c r="J27" s="63" t="s">
        <v>40</v>
      </c>
      <c r="K27" s="64">
        <v>1</v>
      </c>
      <c r="L27" s="65" t="str">
        <f t="shared" si="3"/>
        <v/>
      </c>
      <c r="M27" s="65" t="str">
        <f>IF(N27="","",N27*L14)</f>
        <v/>
      </c>
      <c r="N27" s="66" t="str">
        <f>IF(AND(OR(L11=30,L11=31),L12="non",L15="non"),((L8-L9)*2),"")</f>
        <v/>
      </c>
    </row>
    <row r="28" spans="1:14">
      <c r="A28">
        <v>50</v>
      </c>
      <c r="C28" s="67" t="s">
        <v>41</v>
      </c>
      <c r="D28" s="60">
        <v>1</v>
      </c>
      <c r="E28" s="102" t="str">
        <f t="shared" si="0"/>
        <v/>
      </c>
      <c r="F28" s="76" t="str">
        <f t="shared" si="1"/>
        <v/>
      </c>
      <c r="G28" s="75" t="str">
        <f t="shared" ref="G28:G31" si="5">IF(H28="","",H28*$F$14)</f>
        <v/>
      </c>
      <c r="H28" s="82" t="str">
        <f>IF(F13="oui","",IF(AND(AND(F11&gt;=32,F11&lt;=36),F12="non",F15="non"),H18-(F10*4),IF(AND(AND(F11&gt;=32,F11&lt;=36),F12="non",F15="oui"),H19-(F10*4),"")))</f>
        <v/>
      </c>
      <c r="I28"/>
      <c r="J28" s="67" t="s">
        <v>41</v>
      </c>
      <c r="K28" s="60">
        <v>1</v>
      </c>
      <c r="L28" s="61" t="str">
        <f t="shared" si="3"/>
        <v/>
      </c>
      <c r="M28" s="61" t="str">
        <f>IF(N28="","",N28*L14)</f>
        <v/>
      </c>
      <c r="N28" s="68" t="str">
        <f>IF(L13="oui","",IF(AND(L11&gt;=32,L11&lt;=36,L12="non",L15="non"),((L8-L9)*2),IF(AND(AND(L11&gt;=30,L11&lt;=34),L12="non",L15="oui"),((L8-L10)*2),"")))</f>
        <v/>
      </c>
    </row>
    <row r="29" spans="1:14">
      <c r="C29" s="67" t="s">
        <v>42</v>
      </c>
      <c r="D29" s="60">
        <v>1</v>
      </c>
      <c r="E29" s="102" t="str">
        <f t="shared" si="0"/>
        <v/>
      </c>
      <c r="F29" s="76" t="str">
        <f t="shared" si="1"/>
        <v/>
      </c>
      <c r="G29" s="75" t="str">
        <f t="shared" si="5"/>
        <v/>
      </c>
      <c r="H29" s="82" t="str">
        <f>IF(F13="oui","",IF(AND(AND(F11&gt;=37,F11&lt;=41),F12="non",F15="non"),H18-(F10*4),IF(AND(AND(F11&gt;=37,F11&lt;=41),F12="non",F15="oui"),H19-(F10*4),"")))</f>
        <v/>
      </c>
      <c r="I29"/>
      <c r="J29" s="67" t="s">
        <v>42</v>
      </c>
      <c r="K29" s="60">
        <v>1</v>
      </c>
      <c r="L29" s="61" t="str">
        <f t="shared" si="3"/>
        <v/>
      </c>
      <c r="M29" s="61" t="str">
        <f>IF(N29="","",N29*L14)</f>
        <v/>
      </c>
      <c r="N29" s="68" t="str">
        <f>IF(L13="oui","",IF(AND(L11&gt;=37,L11&lt;=41,L12="non",L15="non"),((L8-L9)*2),IF(AND(AND(L11&gt;=35,L11&lt;=39),L12="non",L15="oui"),((L8-L10)*2),"")))</f>
        <v/>
      </c>
    </row>
    <row r="30" spans="1:14">
      <c r="C30" s="67" t="s">
        <v>43</v>
      </c>
      <c r="D30" s="60">
        <v>1</v>
      </c>
      <c r="E30" s="102" t="str">
        <f t="shared" si="0"/>
        <v/>
      </c>
      <c r="F30" s="76" t="str">
        <f t="shared" si="1"/>
        <v/>
      </c>
      <c r="G30" s="75" t="str">
        <f t="shared" si="5"/>
        <v/>
      </c>
      <c r="H30" s="82" t="str">
        <f>IF(F13="oui","",IF(AND(AND(F11&gt;=42,F11&lt;=46),F12="non",F15="non"),H18-(F10*4),IF(AND(AND(F11&gt;=42,F11&lt;=46),F12="non",F15="oui"),H19-(F10*4),"")))</f>
        <v/>
      </c>
      <c r="I30"/>
      <c r="J30" s="67" t="s">
        <v>43</v>
      </c>
      <c r="K30" s="60">
        <v>1</v>
      </c>
      <c r="L30" s="61" t="str">
        <f t="shared" si="3"/>
        <v/>
      </c>
      <c r="M30" s="61" t="str">
        <f>IF(N30="","",N30*L14)</f>
        <v/>
      </c>
      <c r="N30" s="68" t="str">
        <f>IF(L13="oui","",IF(AND(L11&gt;=42,L11&lt;=46,L12="non",L15="non"),((L8-L9)*2),IF(AND(AND(L11&gt;=40,L11&lt;=44),L12="non",L15="oui"),((L8-L10)*2),"")))</f>
        <v/>
      </c>
    </row>
    <row r="31" spans="1:14" ht="15" thickBot="1">
      <c r="C31" s="69" t="s">
        <v>44</v>
      </c>
      <c r="D31" s="70">
        <v>1</v>
      </c>
      <c r="E31" s="104" t="str">
        <f t="shared" si="0"/>
        <v/>
      </c>
      <c r="F31" s="86" t="str">
        <f t="shared" si="1"/>
        <v/>
      </c>
      <c r="G31" s="84" t="str">
        <f t="shared" si="5"/>
        <v/>
      </c>
      <c r="H31" s="85" t="str">
        <f>IF(F13="oui","",IF(AND(AND(F11&gt;=47,F11&lt;=50),F12="non",F15="non"),H18-(F10*4),IF(AND(AND(F11&gt;=47,F11&lt;=50),F12="non",F15="oui"),H19-(F10*4),"")))</f>
        <v/>
      </c>
      <c r="I31"/>
      <c r="J31" s="69" t="s">
        <v>44</v>
      </c>
      <c r="K31" s="70">
        <v>1</v>
      </c>
      <c r="L31" s="71" t="str">
        <f t="shared" si="3"/>
        <v/>
      </c>
      <c r="M31" s="71" t="str">
        <f>IF(N31="","",N31*L14)</f>
        <v/>
      </c>
      <c r="N31" s="72" t="str">
        <f>IF(L13="oui","",IF(AND(L11&gt;=47,L11&lt;=50,L12="non",L15="non"),((L8-L9)*2),IF(AND(AND(L11&gt;=45,L11&lt;=50),L12="non",L15="oui"),((L8-L10)*2),"")))</f>
        <v/>
      </c>
    </row>
    <row r="32" spans="1:14">
      <c r="A32" s="203">
        <v>0</v>
      </c>
      <c r="C32" s="63" t="s">
        <v>45</v>
      </c>
      <c r="D32" s="64">
        <v>1</v>
      </c>
      <c r="E32" s="103">
        <f t="shared" si="0"/>
        <v>0</v>
      </c>
      <c r="F32" s="87">
        <f t="shared" si="1"/>
        <v>0</v>
      </c>
      <c r="G32" s="80">
        <f>IF(H32="","",H32*$F$14)</f>
        <v>0</v>
      </c>
      <c r="H32" s="88">
        <f>IF(AND(OR(F11=30,F11=31),H18&lt;&gt;"",H21&lt;&gt;""),H18-H21,IF(AND(OR(F11=30,F11=31),H19&lt;&gt;"",H21&lt;&gt;""),H19-H21,IF(AND(OR(F11=30,F11=31),F12="oui",F15="non"),H18-H22,IF(AND(OR(F11=30,F11=31),F12="non",F15="non"),H18-H27,IF(AND(OR(F11=30,F11=31),F12="oui",F15="oui"),H19-H22,IF(AND(OR(F11=30,F11=31),F12="non",F15="oui"),H19-H27,""))))))</f>
        <v>0</v>
      </c>
      <c r="I32"/>
      <c r="J32" s="63" t="s">
        <v>45</v>
      </c>
      <c r="K32" s="64">
        <v>1</v>
      </c>
      <c r="L32" s="65">
        <f t="shared" si="3"/>
        <v>0</v>
      </c>
      <c r="M32" s="65">
        <f>IF(N32="","",N32*L14)</f>
        <v>0</v>
      </c>
      <c r="N32" s="66">
        <f>IF(AND(OR(L11=30,L11=31),L13="oui",L15="non"),N18-N21,IF(AND(OR(L11=30,L11=31),L12="oui",L15="oui"),N18-N22,IF(AND(OR(L11=30,L11=31),L12="non",L15="oui"),N18-N28,IF(AND(OR(L11=30,L11=31),L12="oui",L15="non"),N18-N22,IF(AND(OR(L11=30,L11=31),L12="non",L15="non"),N18-N27,"")))))</f>
        <v>0</v>
      </c>
    </row>
    <row r="33" spans="1:14">
      <c r="A33" s="204">
        <v>5.0000000000000001E-3</v>
      </c>
      <c r="C33" s="67" t="s">
        <v>46</v>
      </c>
      <c r="D33" s="60">
        <v>1</v>
      </c>
      <c r="E33" s="102" t="str">
        <f t="shared" si="0"/>
        <v/>
      </c>
      <c r="F33" s="76" t="str">
        <f t="shared" si="1"/>
        <v/>
      </c>
      <c r="G33" s="75" t="str">
        <f t="shared" ref="G33:G40" si="6">IF(H33="","",H33*$F$14)</f>
        <v/>
      </c>
      <c r="H33" s="82" t="str">
        <f>IF(AND(OR(F11=32,F11=33),H18&lt;&gt;"",H21&lt;&gt;""),H18-H21,IF(AND(OR(F11=32,F11=33),H19&lt;&gt;"",H21&lt;&gt;""),H19-H21,IF(AND(OR(F11=32,F11=33),F12="oui",F15="non"),H18-H22,IF(AND(OR(F11=32,F11=33),F12="non",F15="non"),H18-H28,IF(AND(OR(F11=32,F11=33),F12="oui",F15="oui"),H19-H22,IF(AND(OR(F11=32,F11=33),F12="non",F15="oui"),H19-H28,""))))))</f>
        <v/>
      </c>
      <c r="I33"/>
      <c r="J33" s="67" t="s">
        <v>46</v>
      </c>
      <c r="K33" s="60">
        <v>1</v>
      </c>
      <c r="L33" s="61" t="str">
        <f t="shared" si="3"/>
        <v/>
      </c>
      <c r="M33" s="61" t="str">
        <f>IF(N33="","",N33*L14)</f>
        <v/>
      </c>
      <c r="N33" s="68" t="str">
        <f>IF(AND(OR(L11=32,L11=33),L13="oui",L15="non"),N18-N21,IF(AND(L11=32,L12="oui",L15="oui"),N18-N22,IF(AND(L11=33,L12="oui",L15="oui"),N18-N23,IF(AND(OR(L11=32,L11=33),L12="non",L15="oui"),N18-N28,IF(AND(OR(L11=32,L11=33),L12="oui",L15="non"),N18-N22,IF(AND(OR(L11=32,L11=33),L12="non",L15="non"),N18-N28,""))))))</f>
        <v/>
      </c>
    </row>
    <row r="34" spans="1:14">
      <c r="A34" s="203">
        <v>0.01</v>
      </c>
      <c r="C34" s="67" t="s">
        <v>47</v>
      </c>
      <c r="D34" s="60">
        <v>1</v>
      </c>
      <c r="E34" s="102" t="str">
        <f t="shared" si="0"/>
        <v/>
      </c>
      <c r="F34" s="76" t="str">
        <f>IF(H34="","",ROUNDUP(H34+G34,0))</f>
        <v/>
      </c>
      <c r="G34" s="75" t="str">
        <f t="shared" si="6"/>
        <v/>
      </c>
      <c r="H34" s="82" t="str">
        <f>IF(AND(OR(F11=34,F11=35),H18&lt;&gt;"",H21&lt;&gt;""),H18-H21,IF(AND(OR(F11=34,F11=35),H19&lt;&gt;"",H21&lt;&gt;""),H19-H21,IF(AND(F11=34,F12="oui",F15="non"),H18-H22,IF(AND(F11=35,F12="oui",F15="non"),H18-H23,IF(AND(OR(F11=34,F11=35),F12="non",F15="non"),H18-H28,IF(AND(F11=34,F12="oui",F15="oui"),H19-H22,IF(AND(F11=35,F12="oui",F15="oui"),H19-H23,IF(AND(OR(F11=34,F11=35),F12="non",F15="oui"),H19-H28,""))))))))</f>
        <v/>
      </c>
      <c r="I34"/>
      <c r="J34" s="67" t="s">
        <v>47</v>
      </c>
      <c r="K34" s="60">
        <v>1</v>
      </c>
      <c r="L34" s="61" t="str">
        <f t="shared" si="3"/>
        <v/>
      </c>
      <c r="M34" s="61" t="str">
        <f>IF(N34="","",N34*L14)</f>
        <v/>
      </c>
      <c r="N34" s="68" t="str">
        <f>IF(AND(OR(L11=34,L11=35),L13="oui",L15="non"),N18-N21,IF(AND(OR(L11=34,L11=35),L12="oui",L15="oui"),N18-N23,IF(AND(L11=34,L12="non",L15="oui"),N18-N28,IF(AND(L11=35,L12="non",L15="oui"),N18-N29,IF(AND(L11=34,L12="oui",L15="non"),N18-N22,IF(AND(L11=35,L12="oui",L15="non"),N18-N23,IF(AND(OR(L11=34,L11=35),L12="non",L15="non"),N18-N28,"")))))))</f>
        <v/>
      </c>
    </row>
    <row r="35" spans="1:14">
      <c r="A35" s="203">
        <v>0.02</v>
      </c>
      <c r="C35" s="67" t="s">
        <v>48</v>
      </c>
      <c r="D35" s="60">
        <v>1</v>
      </c>
      <c r="E35" s="102" t="str">
        <f t="shared" si="0"/>
        <v/>
      </c>
      <c r="F35" s="76" t="str">
        <f t="shared" ref="F35:F40" si="7">IF(H35="","",ROUNDUP(H35+G35,0))</f>
        <v/>
      </c>
      <c r="G35" s="75" t="str">
        <f t="shared" si="6"/>
        <v/>
      </c>
      <c r="H35" s="82" t="str">
        <f>IF(AND(OR(F11=36,F11=37),H18&lt;&gt;"",H21&lt;&gt;""),H18-H21,IF(AND(OR(F11=36,F11=37),H19&lt;&gt;"",H21&lt;&gt;""),H19-H21,IF(AND(F11=36,F12="oui",F15="non"),H18-H23,IF(AND(F11=36,F12="non",F15="non"),H18-H28,IF(AND(F11=37,F12="oui",F15="non"),H18-H23,IF(AND(F11=37,F12="non",F15="non"),H18-H29,IF(AND(F11=36,F12="oui",F15="oui"),H19-H23,IF(AND(F11=36,F12="non",F15="oui"),H19-H28,IF(AND(F11=37,F12="oui",F15="oui"),H19-H23,IF(AND(F11=37,F12="non",F15="oui"),H19-H29,""))))))))))</f>
        <v/>
      </c>
      <c r="I35"/>
      <c r="J35" s="67" t="s">
        <v>48</v>
      </c>
      <c r="K35" s="60">
        <v>1</v>
      </c>
      <c r="L35" s="61" t="str">
        <f t="shared" si="3"/>
        <v/>
      </c>
      <c r="M35" s="61" t="str">
        <f>IF(N35="","",N35*L14)</f>
        <v/>
      </c>
      <c r="N35" s="68" t="str">
        <f>IF(AND(OR(L11=36,L11=37),L13="oui",L15="non"),N18-N21,IF(AND(OR(L11=36,L11=37),L12="oui",L15="oui"),N18-N23,IF(AND(OR(L11=36,L11=37),L12="non",L15="oui"),N18-N29,IF(AND(OR(L11=36,L11=37),L12="oui",L15="non"),N18-N23,IF(AND(L11=36,L12="non",L15="non"),N18-N28,IF(AND(L11=37,L12="non",L15="non"),N18-N29,""))))))</f>
        <v/>
      </c>
    </row>
    <row r="36" spans="1:14">
      <c r="A36" s="203">
        <v>0.03</v>
      </c>
      <c r="C36" s="67" t="s">
        <v>49</v>
      </c>
      <c r="D36" s="60">
        <v>1</v>
      </c>
      <c r="E36" s="102" t="str">
        <f t="shared" si="0"/>
        <v/>
      </c>
      <c r="F36" s="76" t="str">
        <f t="shared" si="7"/>
        <v/>
      </c>
      <c r="G36" s="75" t="str">
        <f t="shared" si="6"/>
        <v/>
      </c>
      <c r="H36" s="82" t="str">
        <f>IF(AND(OR(F11=38,F11=39),H18&lt;&gt;"",H21&lt;&gt;""),H18-H21,IF(AND(OR(F11=36,F11=37),H19&lt;&gt;"",H21&lt;&gt;""),H19-H21,IF(AND(OR(F11=38,F11=39),F12="oui",F15="non"),H18-H23,IF(AND(OR(F11=38,F11=39),F12="non",F15="non"),H18-H29,IF(AND(OR(F11=38,F11=39),F12="oui",F15="oui"),H19-H23,IF(AND(OR(F11=38,F11=39),F12="non",F15="oui"),H19-H29,""))))))</f>
        <v/>
      </c>
      <c r="I36"/>
      <c r="J36" s="67" t="s">
        <v>49</v>
      </c>
      <c r="K36" s="60">
        <v>1</v>
      </c>
      <c r="L36" s="61" t="str">
        <f t="shared" si="3"/>
        <v/>
      </c>
      <c r="M36" s="61" t="str">
        <f>IF(N36="","",N36*L14)</f>
        <v/>
      </c>
      <c r="N36" s="68" t="str">
        <f>IF(AND(OR(L11=38,L11=39),L13="oui",L15="non"),N18-N21,IF(AND(OR(L11=38,L11=39),L12="oui",L15="oui"),N18-N24,IF(AND(OR(L11=38,L11=39),L12="non",L15="oui"),N18-N29,IF(AND(OR(L11=38,L11=39),L12="oui",L15="non"),N18-N23,IF(AND(OR(L11=38,L11=39),L12="non",L15="non"),N18-N29,"")))))</f>
        <v/>
      </c>
    </row>
    <row r="37" spans="1:14">
      <c r="A37" s="203">
        <v>0.04</v>
      </c>
      <c r="C37" s="67" t="s">
        <v>50</v>
      </c>
      <c r="D37" s="60">
        <v>1</v>
      </c>
      <c r="E37" s="102" t="str">
        <f t="shared" si="0"/>
        <v/>
      </c>
      <c r="F37" s="76" t="str">
        <f t="shared" si="7"/>
        <v/>
      </c>
      <c r="G37" s="75" t="str">
        <f t="shared" si="6"/>
        <v/>
      </c>
      <c r="H37" s="82" t="str">
        <f>IF(AND(OR(F11=40,F11=41),H18&lt;&gt;"",H21&lt;&gt;""),H18-H21,IF(AND(OR(F11=40,F11=41),H19&lt;&gt;"",H21&lt;&gt;""),H19-H21,IF(AND(OR(F11=40,F11=41),F12="oui",F15="non"),H18-H24,IF(AND(OR(F11=40,F11=41),F12="non",F15="non"),H18-H29,IF(AND(OR(F11=40,F11=41),F12="oui",F15="oui"),H19-H24,IF(AND(OR(F11=40,F11=41),F12="non",F15="oui"),H19-H29,""))))))</f>
        <v/>
      </c>
      <c r="I37"/>
      <c r="J37" s="67" t="s">
        <v>50</v>
      </c>
      <c r="K37" s="60">
        <v>1</v>
      </c>
      <c r="L37" s="61" t="str">
        <f t="shared" si="3"/>
        <v/>
      </c>
      <c r="M37" s="61" t="str">
        <f>IF(N37="","",N37*L14)</f>
        <v/>
      </c>
      <c r="N37" s="68" t="str">
        <f>IF(AND(OR(L11=40,L11=41),L13="oui",L15="non"),N18-N21,IF(AND(OR(L11=40,L11=41),L12="oui",L15="oui"),N18-N24,IF(AND(OR(L11=40,L11=41),L12="non",L15="oui"),N18-N30,IF(AND(OR(L11=40,L11=41),L12="oui",L15="non"),N18-N24,IF(AND(OR(L11=40,L11=41),L12="non",L15="non"),N18-N29,"")))))</f>
        <v/>
      </c>
    </row>
    <row r="38" spans="1:14">
      <c r="A38" s="203">
        <v>0.05</v>
      </c>
      <c r="C38" s="67" t="s">
        <v>51</v>
      </c>
      <c r="D38" s="60">
        <v>1</v>
      </c>
      <c r="E38" s="102" t="str">
        <f t="shared" si="0"/>
        <v/>
      </c>
      <c r="F38" s="76" t="str">
        <f t="shared" si="7"/>
        <v/>
      </c>
      <c r="G38" s="75" t="str">
        <f t="shared" si="6"/>
        <v/>
      </c>
      <c r="H38" s="82" t="str">
        <f>IF(AND(OR(F11=42,F11=43,F11=44),H18&lt;&gt;"",H21&lt;&gt;""),H18-H21,IF(AND(OR(F11=42,F11=43,F11=44),H19&lt;&gt;"",H21&lt;&gt;""),H19-H21,IF(AND(AND(F11&gt;=42,F11&lt;=44),F12="oui",F15="non"),H18-H24,IF(AND(AND(F11&gt;=42,F11&lt;=44),F12="non",F15="non"),H18-H30,IF(AND(AND(F11&gt;=42,F11&lt;=44),F12="oui",F15="oui"),H19-H24,IF(AND(AND(F11&gt;=42,F11&lt;=44),F12="non",F15="oui"),H19-H30,""))))))</f>
        <v/>
      </c>
      <c r="I38"/>
      <c r="J38" s="67" t="s">
        <v>51</v>
      </c>
      <c r="K38" s="60">
        <v>1</v>
      </c>
      <c r="L38" s="61" t="str">
        <f t="shared" si="3"/>
        <v/>
      </c>
      <c r="M38" s="61" t="str">
        <f>IF(N38="","",N38*L14)</f>
        <v/>
      </c>
      <c r="N38" s="68" t="str">
        <f>IF(AND(OR(L11=42,L11=43,L11=44),L13="oui",L15="non"),N18-N21,IF(AND(L11=42,L12="oui",L15="oui"),N18-N24,IF(AND(OR(L11=42,L11=43),L12="oui",L15="oui"),N18-N25,IF(AND(OR(L11=42,L11=43,L11=44),L12="non",L15="oui"),N18-N30,IF(AND(OR(L11=42,L11=43,L11=44),L12="oui",L15="non"),N18-N24,IF(AND(OR(L11=42,L11=43,L11=44),L12="non",L15="non"),N18-N30,""))))))</f>
        <v/>
      </c>
    </row>
    <row r="39" spans="1:14">
      <c r="C39" s="67" t="s">
        <v>52</v>
      </c>
      <c r="D39" s="60">
        <v>1</v>
      </c>
      <c r="E39" s="105" t="str">
        <f t="shared" si="0"/>
        <v/>
      </c>
      <c r="F39" s="83" t="str">
        <f t="shared" si="7"/>
        <v/>
      </c>
      <c r="G39" s="75" t="str">
        <f t="shared" si="6"/>
        <v/>
      </c>
      <c r="H39" s="82" t="str">
        <f>IF(AND(OR(F11=45,F11=46,F11=47,F11=48,F11=49),H18&lt;&gt;"",H21&lt;&gt;""),H18-H21,IF(AND(OR(F11=45,F11=46,F11=47,F11=48,F11=49),H19&lt;&gt;"",H21&lt;&gt;""),H19-H21,IF(AND(OR(F11=45,F11=46),F12="oui",F15="non"),H18-H25,IF(AND(OR(F11=45,F11=46),F12="non",F15="non"),H18-H30,IF(AND(AND(F11&gt;=47,F11&lt;=49),F12="oui",F15="non"),H18-H25,IF(AND(AND(F11&gt;=47,F11&lt;=49),F12="non",F15="non"),H18-H31,IF(AND(OR(F11=45,F11=46),F12="oui",F15="oui"),H19-H25,IF(AND(OR(F11=45,F11=46),F12="non",F15="oui"),H19-H30,IF(AND(AND(F11&gt;=47,F11&lt;=49),F12="oui",F15="oui"),H19-H25,IF(AND(AND(F11&gt;=47,F11&lt;=49),F12="non",F15="oui"),H19-H31,""))))))))))</f>
        <v/>
      </c>
      <c r="I39"/>
      <c r="J39" s="67" t="s">
        <v>52</v>
      </c>
      <c r="K39" s="60">
        <v>1</v>
      </c>
      <c r="L39" s="61" t="str">
        <f t="shared" si="3"/>
        <v/>
      </c>
      <c r="M39" s="61" t="str">
        <f>IF(N39="","",N39*L14)</f>
        <v/>
      </c>
      <c r="N39" s="68" t="str">
        <f>IF(AND(AND(L11&gt;=45,L11&lt;=49),L13="oui",L15="non"),N18-N21,IF(AND(OR(L11=45,L11=46,L11=47),L12="oui",L15="oui"),N18-N25,IF(AND(OR(L11=48,L11=49),L12="oui",L15="oui"),N18-N26,IF(AND(AND(L11&gt;=45,L11&lt;=49),L12="non",L15="oui"),N18-N31,IF(AND(AND(L11&gt;=45,L11&lt;=49),L12="oui",L15="non"),N18-N25,IF(AND(OR(L11=45,L11=46),L12="non",L15="non"),N18-N30,IF(AND(AND(L11&gt;=47,L11&lt;=49),L12="non",L15="non"),N18-N31,"")))))))</f>
        <v/>
      </c>
    </row>
    <row r="40" spans="1:14" ht="15" thickBot="1">
      <c r="C40" s="69" t="s">
        <v>53</v>
      </c>
      <c r="D40" s="70">
        <v>1</v>
      </c>
      <c r="E40" s="104" t="str">
        <f t="shared" si="0"/>
        <v/>
      </c>
      <c r="F40" s="86" t="str">
        <f t="shared" si="7"/>
        <v/>
      </c>
      <c r="G40" s="84" t="str">
        <f t="shared" si="6"/>
        <v/>
      </c>
      <c r="H40" s="85" t="str">
        <f>IF(AND(F11=50,H18&lt;&gt;"",H21&lt;&gt;""),H18-H21,IF(AND(F11=50,H19&lt;&gt;"",H21&lt;&gt;""),H19-H21,IF(AND(F11=50,F12="oui",F15="non"),H18-H26,IF(AND(F11=50,F12="non",F15="non"),H18-H31,IF(AND(F11=50,F12="oui",F15="oui"),H19-H26,IF(AND(F11=50,F12="non",F15="oui"),H19-H31,""))))))</f>
        <v/>
      </c>
      <c r="I40"/>
      <c r="J40" s="69" t="s">
        <v>53</v>
      </c>
      <c r="K40" s="70">
        <v>1</v>
      </c>
      <c r="L40" s="71" t="str">
        <f t="shared" si="3"/>
        <v/>
      </c>
      <c r="M40" s="71" t="str">
        <f>IF(N40="","",N40*L14)</f>
        <v/>
      </c>
      <c r="N40" s="236" t="str">
        <f>IF(AND(L11=50,L13="oui",L15="non"),N18-N21,IF(AND(L11=50,L12="oui",L15="oui"),N18-N26,IF(AND(L11=50,L12="non",L15="oui"),N18-N31,IF(AND(L11=50,L12="oui",L15="non"),N18-N26,IF(AND(L11=50,L12="non",L15="non"),N18-N31,"")))))</f>
        <v/>
      </c>
    </row>
    <row r="41" spans="1:14" ht="15" thickBot="1">
      <c r="C41" s="205" t="s">
        <v>105</v>
      </c>
      <c r="D41" s="206">
        <v>1</v>
      </c>
      <c r="E41" s="207">
        <f t="shared" si="0"/>
        <v>0</v>
      </c>
      <c r="F41" s="197">
        <f>IF(H41="","",ROUNDUP(H41+G41,0))</f>
        <v>0</v>
      </c>
      <c r="G41" s="197">
        <f>IF(H41="","",H41*$F$14)</f>
        <v>0</v>
      </c>
      <c r="H41" s="197">
        <f>IF(F10="","",(IF(OR(F11=30,F11=31),F32/2, IF(OR(F11=32,F11=33),F33/2,IF(OR(F11=34,F11=35),F34/2,IF(OR(F11=36,F11=37),F35/2,IF(OR(F11=38,F11=39),F36/2,IF(OR(F11=40,F11=41),F37/2,IF(OR(F11=42,F11=43,F11=44),F38/2,IF(OR(F11=45,F11=46,F11=47,F11=48,F11=49),F39/2,IF(F11=50,F40/2)))))))))))</f>
        <v>0</v>
      </c>
      <c r="I41"/>
      <c r="J41" s="205" t="s">
        <v>105</v>
      </c>
      <c r="K41" s="206">
        <v>1</v>
      </c>
      <c r="L41" s="197">
        <f>IF(N41="","",ROUNDUP(N41+M41,0))</f>
        <v>0</v>
      </c>
      <c r="M41" s="197">
        <f>IF(N41="","",N41*$F$14)</f>
        <v>0</v>
      </c>
      <c r="N41" s="197">
        <f>IF(L10="","",(IF(L15="oui",L8,(IF(OR(L11=30,L11=31),L32/2,IF(OR(L11=32,L11=33),L33/2,IF(OR(L11=34,L11=35),L34/2,IF(OR(L11=36,L11=37),L35/2,IF(OR(L11=38,L11=39),L36/2,IF(OR(L11=40,L11=41),L37/2,IF(OR(L11=42,L11=43,L11=44),L38/2,IF(OR(L11=45,L11=46,L11=47,L11=48,L11=49),L39/2,IF(L11=50,L40/2)))))))))))))</f>
        <v>0</v>
      </c>
    </row>
    <row r="42" spans="1:14" ht="15" thickBot="1">
      <c r="C42" s="208"/>
      <c r="D42" s="209"/>
      <c r="E42" s="209"/>
      <c r="F42" s="210"/>
      <c r="G42" s="211"/>
      <c r="H42" s="212"/>
      <c r="I42"/>
      <c r="J42" s="208"/>
      <c r="K42" s="209"/>
      <c r="L42" s="213"/>
      <c r="M42" s="213"/>
      <c r="N42" s="214"/>
    </row>
    <row r="43" spans="1:14" ht="15" thickBot="1">
      <c r="C43" s="337" t="s">
        <v>190</v>
      </c>
      <c r="D43" s="338"/>
      <c r="E43" s="338"/>
      <c r="F43" s="339"/>
      <c r="J43" s="337" t="s">
        <v>191</v>
      </c>
      <c r="K43" s="338"/>
      <c r="L43" s="339"/>
    </row>
    <row r="44" spans="1:14">
      <c r="C44" s="340" t="s">
        <v>15</v>
      </c>
      <c r="D44" s="340"/>
      <c r="E44" s="175"/>
      <c r="F44" s="101" t="s">
        <v>25</v>
      </c>
      <c r="G44" s="176"/>
      <c r="H44" s="40"/>
      <c r="J44" s="341" t="s">
        <v>128</v>
      </c>
      <c r="K44" s="341"/>
      <c r="L44" s="177" t="s">
        <v>25</v>
      </c>
      <c r="M44" s="178"/>
      <c r="N44" s="178"/>
    </row>
    <row r="45" spans="1:14">
      <c r="C45" s="336" t="s">
        <v>26</v>
      </c>
      <c r="D45" s="336"/>
      <c r="E45" s="179"/>
      <c r="F45" s="14">
        <v>0</v>
      </c>
      <c r="G45" s="19"/>
      <c r="H45" s="180"/>
      <c r="J45" s="336" t="s">
        <v>26</v>
      </c>
      <c r="K45" s="336"/>
      <c r="L45" s="42">
        <v>0</v>
      </c>
      <c r="M45" s="181"/>
      <c r="N45" s="182"/>
    </row>
    <row r="46" spans="1:14" ht="14.25" customHeight="1">
      <c r="C46" s="336" t="s">
        <v>27</v>
      </c>
      <c r="D46" s="336"/>
      <c r="E46" s="179"/>
      <c r="F46" s="14">
        <v>0</v>
      </c>
      <c r="G46" s="19"/>
      <c r="H46" s="180"/>
      <c r="J46" s="336" t="s">
        <v>27</v>
      </c>
      <c r="K46" s="336"/>
      <c r="L46" s="42">
        <v>0</v>
      </c>
      <c r="M46" s="181"/>
      <c r="N46" s="182"/>
    </row>
    <row r="47" spans="1:14">
      <c r="C47" s="336" t="s">
        <v>28</v>
      </c>
      <c r="D47" s="336"/>
      <c r="E47" s="179"/>
      <c r="F47" s="14">
        <v>0</v>
      </c>
      <c r="G47" s="19"/>
      <c r="H47" s="180"/>
      <c r="J47" s="336" t="s">
        <v>28</v>
      </c>
      <c r="K47" s="336"/>
      <c r="L47" s="42">
        <v>0</v>
      </c>
      <c r="M47" s="181"/>
      <c r="N47" s="182"/>
    </row>
    <row r="48" spans="1:14">
      <c r="C48" s="336" t="s">
        <v>29</v>
      </c>
      <c r="D48" s="336"/>
      <c r="E48" s="179"/>
      <c r="F48" s="14">
        <v>30</v>
      </c>
      <c r="G48" s="19"/>
      <c r="H48" s="180"/>
      <c r="J48" s="336" t="s">
        <v>136</v>
      </c>
      <c r="K48" s="336"/>
      <c r="L48" s="14">
        <v>30</v>
      </c>
      <c r="M48" s="181"/>
      <c r="N48" s="182"/>
    </row>
    <row r="49" spans="3:14">
      <c r="C49" s="336" t="s">
        <v>270</v>
      </c>
      <c r="D49" s="336"/>
      <c r="E49" s="179"/>
      <c r="F49" s="14" t="s">
        <v>33</v>
      </c>
      <c r="G49" s="19"/>
      <c r="H49" s="180"/>
      <c r="J49" s="336" t="s">
        <v>270</v>
      </c>
      <c r="K49" s="336"/>
      <c r="L49" s="14" t="s">
        <v>33</v>
      </c>
      <c r="M49" s="181"/>
      <c r="N49" s="182"/>
    </row>
    <row r="50" spans="3:14">
      <c r="C50" s="336" t="s">
        <v>272</v>
      </c>
      <c r="D50" s="336"/>
      <c r="E50" s="179"/>
      <c r="F50" s="14" t="s">
        <v>33</v>
      </c>
      <c r="G50" s="19"/>
      <c r="H50" s="180"/>
      <c r="J50" s="331" t="s">
        <v>269</v>
      </c>
      <c r="K50" s="332"/>
      <c r="L50" s="14" t="s">
        <v>33</v>
      </c>
      <c r="M50" s="181"/>
      <c r="N50" s="182"/>
    </row>
    <row r="51" spans="3:14">
      <c r="C51" s="336" t="s">
        <v>146</v>
      </c>
      <c r="D51" s="336"/>
      <c r="E51" s="179"/>
      <c r="F51" s="15">
        <v>0</v>
      </c>
      <c r="G51" s="16"/>
      <c r="H51"/>
      <c r="J51" s="336" t="s">
        <v>135</v>
      </c>
      <c r="K51" s="336"/>
      <c r="L51" s="15">
        <v>0</v>
      </c>
      <c r="M51" s="183"/>
      <c r="N51" s="184"/>
    </row>
    <row r="52" spans="3:14">
      <c r="C52" s="334" t="s">
        <v>250</v>
      </c>
      <c r="D52" s="334"/>
      <c r="E52" s="179"/>
      <c r="F52" s="239" t="s">
        <v>65</v>
      </c>
      <c r="G52" s="185"/>
      <c r="H52"/>
      <c r="J52" s="334" t="s">
        <v>252</v>
      </c>
      <c r="K52" s="334"/>
      <c r="L52" s="239" t="s">
        <v>65</v>
      </c>
      <c r="M52" s="181"/>
      <c r="N52" s="182"/>
    </row>
    <row r="53" spans="3:14" ht="15" thickBot="1">
      <c r="C53"/>
      <c r="D53"/>
      <c r="E53"/>
      <c r="H53"/>
      <c r="J53" s="335"/>
      <c r="K53" s="335"/>
      <c r="L53" s="41"/>
      <c r="M53" s="41"/>
      <c r="N53" s="186"/>
    </row>
    <row r="54" spans="3:14">
      <c r="C54" s="187" t="s">
        <v>34</v>
      </c>
      <c r="D54" s="188" t="s">
        <v>35</v>
      </c>
      <c r="E54" s="188"/>
      <c r="F54" s="188" t="s">
        <v>25</v>
      </c>
      <c r="G54" s="80" t="str">
        <f>IF(H54="","",H54*F51)</f>
        <v/>
      </c>
      <c r="H54" s="81"/>
      <c r="I54"/>
      <c r="J54" s="189" t="s">
        <v>34</v>
      </c>
      <c r="K54" s="189" t="s">
        <v>35</v>
      </c>
      <c r="L54" s="177" t="s">
        <v>25</v>
      </c>
      <c r="M54" s="178"/>
      <c r="N54" s="178"/>
    </row>
    <row r="55" spans="3:14">
      <c r="C55" s="67" t="s">
        <v>38</v>
      </c>
      <c r="D55" s="60">
        <v>1</v>
      </c>
      <c r="E55" s="102">
        <f>F55</f>
        <v>0</v>
      </c>
      <c r="F55" s="74">
        <f>IF(H55="","",ROUNDUP(G55+H55,0))</f>
        <v>0</v>
      </c>
      <c r="G55" s="75">
        <f>IF(H55="","",H55*F51)</f>
        <v>0</v>
      </c>
      <c r="H55" s="82">
        <f>IF(OR(F52="oui",F52=""),"",IF((F52="non"),IF(OR(F45="",F47=""),"",(F45+F47)*2)))</f>
        <v>0</v>
      </c>
      <c r="I55"/>
      <c r="J55" s="59" t="s">
        <v>134</v>
      </c>
      <c r="K55" s="60">
        <v>1</v>
      </c>
      <c r="L55" s="61">
        <f>IF(N55="","",ROUNDUP(N55+M55+1,0))</f>
        <v>1</v>
      </c>
      <c r="M55" s="61">
        <f>IF(N55="","",N55*L51)</f>
        <v>0</v>
      </c>
      <c r="N55" s="62">
        <f>IF(OR(L45="",L46=""),"",IF(L52="non",((L45*2)+(L46*2)),IF(L52="oui",((L45*2)+(L47*2)))))</f>
        <v>0</v>
      </c>
    </row>
    <row r="56" spans="3:14">
      <c r="C56" s="67" t="s">
        <v>249</v>
      </c>
      <c r="D56" s="60">
        <v>1</v>
      </c>
      <c r="E56" s="102" t="str">
        <f>F56</f>
        <v/>
      </c>
      <c r="F56" s="74" t="str">
        <f>IF(H56="","",ROUNDUP(G56+H56,0))</f>
        <v/>
      </c>
      <c r="G56" s="75" t="str">
        <f>IF(H56="","",H56*F51)</f>
        <v/>
      </c>
      <c r="H56" s="82" t="str">
        <f>IF(OR(F52="non",F52=""),"",IF((F52="oui"),IF(OR(F45="",F47=""),"",(F45+F47)*2)))</f>
        <v/>
      </c>
      <c r="I56"/>
      <c r="J56" s="59" t="s">
        <v>253</v>
      </c>
      <c r="K56" s="60">
        <v>1</v>
      </c>
      <c r="L56" s="61" t="str">
        <f>IF(N56="","",ROUNDUP(N56+M56+1,0))</f>
        <v/>
      </c>
      <c r="M56" s="61" t="str">
        <f>IF(N56="","",N56*L51)</f>
        <v/>
      </c>
      <c r="N56" s="62" t="str">
        <f>IF(L52="oui",N55,"")</f>
        <v/>
      </c>
    </row>
    <row r="57" spans="3:14" ht="15" thickBot="1">
      <c r="C57" s="69" t="s">
        <v>39</v>
      </c>
      <c r="D57" s="70">
        <v>100</v>
      </c>
      <c r="E57" s="104">
        <f>F57</f>
        <v>0</v>
      </c>
      <c r="F57" s="190">
        <f>IF(H57="","",ROUNDUP(G57+H57,0))</f>
        <v>0</v>
      </c>
      <c r="G57" s="191">
        <f>IF(H57="","",H57*F51)</f>
        <v>0</v>
      </c>
      <c r="H57" s="85">
        <f>IF(AND(H55="",H56=""),"",IF(H55&lt;&gt;"",(H55*3)/100,IF(H56&lt;&gt;"",(H56*3)/100)))</f>
        <v>0</v>
      </c>
      <c r="I57"/>
      <c r="J57" s="77" t="s">
        <v>39</v>
      </c>
      <c r="K57" s="78">
        <v>100</v>
      </c>
      <c r="L57" s="192">
        <f>IF(N57="","",ROUNDUP(N57+M57,0))</f>
        <v>1</v>
      </c>
      <c r="M57" s="192">
        <f>IF(N57="","",N57*L51)</f>
        <v>0</v>
      </c>
      <c r="N57" s="193">
        <f>IF(N55="","",(L55*4)/100)</f>
        <v>0.04</v>
      </c>
    </row>
    <row r="58" spans="3:14" ht="15" thickBot="1">
      <c r="C58" s="312" t="s">
        <v>262</v>
      </c>
      <c r="D58" s="64">
        <v>1</v>
      </c>
      <c r="E58" s="194">
        <f t="shared" ref="E58:E78" si="8">F58</f>
        <v>0</v>
      </c>
      <c r="F58" s="195">
        <f t="shared" ref="F58:F70" si="9">IF(H58="","",ROUNDUP(H58+G58,0))</f>
        <v>0</v>
      </c>
      <c r="G58" s="196">
        <f t="shared" ref="G58" si="10">IF(H58="","",H58*$F$14)</f>
        <v>0</v>
      </c>
      <c r="H58" s="197">
        <f>IF(AND(F49="oui",F50="oui",F52="non"),H55-(F47*4),IF(AND(F49="oui",F50="oui",F52="oui"),H56-(F47*4),""))</f>
        <v>0</v>
      </c>
      <c r="I58"/>
      <c r="J58" s="312" t="s">
        <v>262</v>
      </c>
      <c r="K58" s="198">
        <v>1</v>
      </c>
      <c r="L58" s="199">
        <f t="shared" ref="L58:L77" si="11">IF(N58="","",ROUNDUP(N58+M58,0))</f>
        <v>0</v>
      </c>
      <c r="M58" s="199">
        <f>IF(N58="","",N58*L51)</f>
        <v>0</v>
      </c>
      <c r="N58" s="200">
        <f>IF(AND(L49="oui",L50="oui",L52="non"),((L45-L46)*2),"")</f>
        <v>0</v>
      </c>
    </row>
    <row r="59" spans="3:14">
      <c r="C59" s="313" t="s">
        <v>263</v>
      </c>
      <c r="D59" s="64">
        <v>1</v>
      </c>
      <c r="E59" s="103" t="str">
        <f t="shared" si="8"/>
        <v/>
      </c>
      <c r="F59" s="87" t="str">
        <f t="shared" si="9"/>
        <v/>
      </c>
      <c r="G59" s="201" t="str">
        <f>IF(H59="","",H59*$F$14)</f>
        <v/>
      </c>
      <c r="H59" s="173" t="str">
        <f>IF(F50="oui","",IF(AND(AND(F48&gt;=30,F48&lt;=34),F49="oui",F50="non",F52="non"),H55-(F47*4),IF(AND(AND(F48&gt;=30,F48&lt;=34),F49="oui",F50="non",F52="oui"),H56-(F47*4),"")))</f>
        <v/>
      </c>
      <c r="I59"/>
      <c r="J59" s="313" t="s">
        <v>263</v>
      </c>
      <c r="K59" s="89">
        <v>1</v>
      </c>
      <c r="L59" s="73" t="str">
        <f t="shared" si="11"/>
        <v/>
      </c>
      <c r="M59" s="73" t="str">
        <f>IF(N59="","",N59*L51)</f>
        <v/>
      </c>
      <c r="N59" s="202" t="str">
        <f>IF(L50="oui","",IF(AND(L48&gt;=30,L48&lt;=34,L49="oui",L52="non"),((L45-L46)*2),IF(AND(AND(L48&gt;=30,L48&lt;=32),L49="oui",L52="oui"),((L45-L47)*2),"")))</f>
        <v/>
      </c>
    </row>
    <row r="60" spans="3:14">
      <c r="C60" s="67" t="s">
        <v>264</v>
      </c>
      <c r="D60" s="60">
        <v>1</v>
      </c>
      <c r="E60" s="102" t="str">
        <f t="shared" si="8"/>
        <v/>
      </c>
      <c r="F60" s="76" t="str">
        <f t="shared" si="9"/>
        <v/>
      </c>
      <c r="G60" s="201" t="str">
        <f t="shared" ref="G60:G63" si="12">IF(H60="","",H60*$F$14)</f>
        <v/>
      </c>
      <c r="H60" s="82" t="str">
        <f>IF(F50="oui","",IF(AND(AND(F48&gt;=35,F48&lt;=39),F49="oui",F52="non"),H55-(F47*4),IF(AND(AND(F48&gt;=35,F48&lt;=39),F49="oui",F52="oui"),H56-(F47*4),"")))</f>
        <v/>
      </c>
      <c r="I60"/>
      <c r="J60" s="67" t="s">
        <v>264</v>
      </c>
      <c r="K60" s="60">
        <v>1</v>
      </c>
      <c r="L60" s="61" t="str">
        <f t="shared" si="11"/>
        <v/>
      </c>
      <c r="M60" s="61" t="str">
        <f>IF(N60="","",N60*L51)</f>
        <v/>
      </c>
      <c r="N60" s="68" t="str">
        <f>IF(L50="oui","",IF(AND(L48&gt;=35,L48&lt;=39,L49="oui",L52="non"),((L45-L46)*2),IF(AND(AND(L48&gt;=33,L48&lt;=37),L49="oui",L52="oui"),((L45-L47)*2),"")))</f>
        <v/>
      </c>
    </row>
    <row r="61" spans="3:14">
      <c r="C61" s="67" t="s">
        <v>265</v>
      </c>
      <c r="D61" s="60">
        <v>1</v>
      </c>
      <c r="E61" s="102" t="str">
        <f t="shared" si="8"/>
        <v/>
      </c>
      <c r="F61" s="76" t="str">
        <f t="shared" si="9"/>
        <v/>
      </c>
      <c r="G61" s="201" t="str">
        <f t="shared" si="12"/>
        <v/>
      </c>
      <c r="H61" s="82" t="str">
        <f>IF(F50="oui","",IF(AND(AND(F48&gt;=40,F48&lt;=44),F49="oui",F52="non"),H55-(F47*4),IF(AND(AND(F48&gt;=40,F48&lt;=44),F49="oui",F52="oui"),H56-(F47*4),"")))</f>
        <v/>
      </c>
      <c r="I61"/>
      <c r="J61" s="67" t="s">
        <v>265</v>
      </c>
      <c r="K61" s="60">
        <v>1</v>
      </c>
      <c r="L61" s="61" t="str">
        <f t="shared" si="11"/>
        <v/>
      </c>
      <c r="M61" s="61" t="str">
        <f>IF(N61="","",N61*L51)</f>
        <v/>
      </c>
      <c r="N61" s="68" t="str">
        <f>IF(L50="oui","",IF(AND(L48&gt;=40,L48&lt;=44,L49="oui",L52="non"),((L45-L46)*2),IF(AND(AND(L48&gt;=38,L48&lt;=42),L49="oui",L52="oui"),((L45-L47)*2),"")))</f>
        <v/>
      </c>
    </row>
    <row r="62" spans="3:14">
      <c r="C62" s="67" t="s">
        <v>266</v>
      </c>
      <c r="D62" s="60">
        <v>1</v>
      </c>
      <c r="E62" s="102" t="str">
        <f t="shared" si="8"/>
        <v/>
      </c>
      <c r="F62" s="76" t="str">
        <f t="shared" si="9"/>
        <v/>
      </c>
      <c r="G62" s="201" t="str">
        <f t="shared" si="12"/>
        <v/>
      </c>
      <c r="H62" s="82" t="str">
        <f>IF(F50="oui","",IF(AND(AND(F48&gt;=45,F48&lt;=49),F49="oui",F52="non"),H55-(F47*4),IF(AND(AND(F48&gt;=45,F48&lt;=49),F49="oui",F52="oui"),H56-(F47*4),"")))</f>
        <v/>
      </c>
      <c r="I62"/>
      <c r="J62" s="67" t="s">
        <v>266</v>
      </c>
      <c r="K62" s="60">
        <v>1</v>
      </c>
      <c r="L62" s="61" t="str">
        <f t="shared" si="11"/>
        <v/>
      </c>
      <c r="M62" s="61" t="str">
        <f>IF(N62="","",N62*L51)</f>
        <v/>
      </c>
      <c r="N62" s="68" t="str">
        <f>IF(L50="oui","",IF(AND(L48&gt;=45,L48&lt;=49,L49="oui",L52="non"),((L45-L46)*2),IF(AND(AND(L48&gt;=43,L48&lt;=47),L49="oui",L52="oui"),((L45-L47)*2),"")))</f>
        <v/>
      </c>
    </row>
    <row r="63" spans="3:14" ht="15" thickBot="1">
      <c r="C63" s="69" t="s">
        <v>267</v>
      </c>
      <c r="D63" s="70">
        <v>1</v>
      </c>
      <c r="E63" s="104" t="str">
        <f t="shared" si="8"/>
        <v/>
      </c>
      <c r="F63" s="83" t="str">
        <f t="shared" si="9"/>
        <v/>
      </c>
      <c r="G63" s="201" t="str">
        <f t="shared" si="12"/>
        <v/>
      </c>
      <c r="H63" s="85" t="str">
        <f>IF(F50="oui","",IF(AND(F48=50,F49="oui",F52="non"),H55-(F47*4),IF(AND(F48=50,F49="oui",F52="oui"),H56-(F47*4),"")))</f>
        <v/>
      </c>
      <c r="I63"/>
      <c r="J63" s="69" t="s">
        <v>267</v>
      </c>
      <c r="K63" s="70">
        <v>1</v>
      </c>
      <c r="L63" s="71" t="str">
        <f t="shared" si="11"/>
        <v/>
      </c>
      <c r="M63" s="71" t="str">
        <f>IF(N63="","",N63*L51)</f>
        <v/>
      </c>
      <c r="N63" s="72" t="str">
        <f>IF(L50="oui","",IF(AND(L48=50,L49="oui",L52="non"),((L45-L46)*2),IF(AND(AND(L48&gt;=48,L48&lt;=50),L49="oui",L52="oui"),((L45-L47)*2),"")))</f>
        <v/>
      </c>
    </row>
    <row r="64" spans="3:14">
      <c r="C64" s="63" t="s">
        <v>40</v>
      </c>
      <c r="D64" s="64">
        <v>1</v>
      </c>
      <c r="E64" s="103" t="str">
        <f t="shared" si="8"/>
        <v/>
      </c>
      <c r="F64" s="79" t="str">
        <f t="shared" si="9"/>
        <v/>
      </c>
      <c r="G64" s="80" t="str">
        <f>IF(H64="","",H64*$F$14)</f>
        <v/>
      </c>
      <c r="H64" s="81" t="str">
        <f>IF(F50="oui","",IF(AND(OR(F48=30,F48=31),F49="non",F52="non"),H55-(F47*4),IF(AND(OR(F48=30,F48=31),F49="non",F52="oui"),H56-(F47*4),"")))</f>
        <v/>
      </c>
      <c r="I64"/>
      <c r="J64" s="63" t="s">
        <v>40</v>
      </c>
      <c r="K64" s="64">
        <v>1</v>
      </c>
      <c r="L64" s="65" t="str">
        <f t="shared" si="11"/>
        <v/>
      </c>
      <c r="M64" s="65" t="str">
        <f>IF(N64="","",N64*L51)</f>
        <v/>
      </c>
      <c r="N64" s="66" t="str">
        <f>IF(AND(OR(L48=30,L48=31),L49="non",L52="non"),((L45-L46)*2),"")</f>
        <v/>
      </c>
    </row>
    <row r="65" spans="3:14">
      <c r="C65" s="67" t="s">
        <v>41</v>
      </c>
      <c r="D65" s="60">
        <v>1</v>
      </c>
      <c r="E65" s="102" t="str">
        <f t="shared" si="8"/>
        <v/>
      </c>
      <c r="F65" s="76" t="str">
        <f t="shared" si="9"/>
        <v/>
      </c>
      <c r="G65" s="75" t="str">
        <f t="shared" ref="G65:G68" si="13">IF(H65="","",H65*$F$14)</f>
        <v/>
      </c>
      <c r="H65" s="82" t="str">
        <f>IF(F50="oui","",IF(AND(AND(F48&gt;=32,F48&lt;=36),F49="non",F52="non"),H55-(F47*4),IF(AND(AND(F48&gt;=32,F48&lt;=36),F49="non",F52="oui"),H56-(F47*4),"")))</f>
        <v/>
      </c>
      <c r="I65"/>
      <c r="J65" s="67" t="s">
        <v>41</v>
      </c>
      <c r="K65" s="60">
        <v>1</v>
      </c>
      <c r="L65" s="61" t="str">
        <f t="shared" si="11"/>
        <v/>
      </c>
      <c r="M65" s="61" t="str">
        <f>IF(N65="","",N65*L51)</f>
        <v/>
      </c>
      <c r="N65" s="68" t="str">
        <f>IF(L50="oui","",IF(AND(L48&gt;=32,L48&lt;=36,L49="non",L52="non"),((L45-L46)*2),IF(AND(AND(L48&gt;=30,L48&lt;=34),L49="non",L52="oui"),((L45-L47)*2),"")))</f>
        <v/>
      </c>
    </row>
    <row r="66" spans="3:14">
      <c r="C66" s="67" t="s">
        <v>42</v>
      </c>
      <c r="D66" s="60">
        <v>1</v>
      </c>
      <c r="E66" s="102" t="str">
        <f t="shared" si="8"/>
        <v/>
      </c>
      <c r="F66" s="76" t="str">
        <f t="shared" si="9"/>
        <v/>
      </c>
      <c r="G66" s="75" t="str">
        <f t="shared" si="13"/>
        <v/>
      </c>
      <c r="H66" s="82" t="str">
        <f>IF(F50="oui","",IF(AND(AND(F48&gt;=37,F48&lt;=41),F49="non",F52="non"),H55-(F47*4),IF(AND(AND(F48&gt;=37,F48&lt;=41),F49="non",F52="oui"),H56-(F47*4),"")))</f>
        <v/>
      </c>
      <c r="I66"/>
      <c r="J66" s="67" t="s">
        <v>42</v>
      </c>
      <c r="K66" s="60">
        <v>1</v>
      </c>
      <c r="L66" s="61" t="str">
        <f t="shared" si="11"/>
        <v/>
      </c>
      <c r="M66" s="61" t="str">
        <f>IF(N66="","",N66*L51)</f>
        <v/>
      </c>
      <c r="N66" s="68" t="str">
        <f>IF(L50="oui","",IF(AND(L48&gt;=37,L48&lt;=41,L49="non",L52="non"),((L45-L46)*2),IF(AND(AND(L48&gt;=35,L48&lt;=39),L49="non",L52="oui"),((L45-L47)*2),"")))</f>
        <v/>
      </c>
    </row>
    <row r="67" spans="3:14">
      <c r="C67" s="67" t="s">
        <v>43</v>
      </c>
      <c r="D67" s="60">
        <v>1</v>
      </c>
      <c r="E67" s="102" t="str">
        <f t="shared" si="8"/>
        <v/>
      </c>
      <c r="F67" s="76" t="str">
        <f t="shared" si="9"/>
        <v/>
      </c>
      <c r="G67" s="75" t="str">
        <f t="shared" si="13"/>
        <v/>
      </c>
      <c r="H67" s="82" t="str">
        <f>IF(F50="oui","",IF(AND(AND(F48&gt;=42,F48&lt;=46),F49="non",F52="non"),H55-(F47*4),IF(AND(AND(F48&gt;=42,F48&lt;=46),F49="non",F52="oui"),H56-(F47*4),"")))</f>
        <v/>
      </c>
      <c r="I67"/>
      <c r="J67" s="67" t="s">
        <v>43</v>
      </c>
      <c r="K67" s="60">
        <v>1</v>
      </c>
      <c r="L67" s="61" t="str">
        <f t="shared" si="11"/>
        <v/>
      </c>
      <c r="M67" s="61" t="str">
        <f>IF(N67="","",N67*L51)</f>
        <v/>
      </c>
      <c r="N67" s="68" t="str">
        <f>IF(L50="oui","",IF(AND(L48&gt;=42,L48&lt;=46,L49="non",L52="non"),((L45-L46)*2),IF(AND(AND(L48&gt;=40,L48&lt;=44),L49="non",L52="oui"),((L45-L47)*2),"")))</f>
        <v/>
      </c>
    </row>
    <row r="68" spans="3:14" ht="15" thickBot="1">
      <c r="C68" s="69" t="s">
        <v>44</v>
      </c>
      <c r="D68" s="70">
        <v>1</v>
      </c>
      <c r="E68" s="104" t="str">
        <f t="shared" si="8"/>
        <v/>
      </c>
      <c r="F68" s="86" t="str">
        <f t="shared" si="9"/>
        <v/>
      </c>
      <c r="G68" s="84" t="str">
        <f t="shared" si="13"/>
        <v/>
      </c>
      <c r="H68" s="85" t="str">
        <f>IF(F50="oui","",IF(AND(AND(F48&gt;=47,F48&lt;=50),F49="non",F52="non"),H55-(F47*4),IF(AND(AND(F48&gt;=47,F48&lt;=50),F49="non",F52="oui"),H56-(F47*4),"")))</f>
        <v/>
      </c>
      <c r="I68"/>
      <c r="J68" s="69" t="s">
        <v>44</v>
      </c>
      <c r="K68" s="70">
        <v>1</v>
      </c>
      <c r="L68" s="71" t="str">
        <f t="shared" si="11"/>
        <v/>
      </c>
      <c r="M68" s="71" t="str">
        <f>IF(N68="","",N68*L51)</f>
        <v/>
      </c>
      <c r="N68" s="72" t="str">
        <f>IF(L50="oui","",IF(AND(L48&gt;=47,L48&lt;=50,L49="non",L52="non"),((L45-L46)*2),IF(AND(AND(L48&gt;=45,L48&lt;=50),L49="non",L52="oui"),((L45-L47)*2),"")))</f>
        <v/>
      </c>
    </row>
    <row r="69" spans="3:14">
      <c r="C69" s="63" t="s">
        <v>45</v>
      </c>
      <c r="D69" s="64">
        <v>1</v>
      </c>
      <c r="E69" s="103">
        <f t="shared" si="8"/>
        <v>0</v>
      </c>
      <c r="F69" s="87">
        <f t="shared" si="9"/>
        <v>0</v>
      </c>
      <c r="G69" s="80">
        <f>IF(H69="","",H69*$F$14)</f>
        <v>0</v>
      </c>
      <c r="H69" s="88">
        <f>IF(AND(OR(F48=30,F48=31),H55&lt;&gt;"",H58&lt;&gt;""),H55-H58,IF(AND(OR(F48=30,F48=31),H56&lt;&gt;"",H58&lt;&gt;""),H56-H58,IF(AND(OR(F48=30,F48=31),F49="oui",F52="non"),H55-H59,IF(AND(OR(F48=30,F48=31),F49="non",F52="non"),H55-H64,IF(AND(OR(F48=30,F48=31),F49="oui",F52="oui"),H56-H59,IF(AND(OR(F48=30,F48=31),F49="non",F52="oui"),H56-H64,""))))))</f>
        <v>0</v>
      </c>
      <c r="I69"/>
      <c r="J69" s="63" t="s">
        <v>45</v>
      </c>
      <c r="K69" s="64">
        <v>1</v>
      </c>
      <c r="L69" s="65">
        <f t="shared" si="11"/>
        <v>0</v>
      </c>
      <c r="M69" s="65">
        <f>IF(N69="","",N69*L51)</f>
        <v>0</v>
      </c>
      <c r="N69" s="66">
        <f>IF(AND(OR(L48=30,L48=31),L50="oui",L52="non"),N55-N58,IF(AND(OR(L48=30,L48=31),L49="oui",L52="oui"),N55-N59,IF(AND(OR(L48=30,L48=31),L49="non",L52="oui"),N55-N65,IF(AND(OR(L48=30,L48=31),L49="oui",L52="non"),N55-N59,IF(AND(OR(L48=30,L48=31),L49="non",L52="non"),N55-N64,"")))))</f>
        <v>0</v>
      </c>
    </row>
    <row r="70" spans="3:14">
      <c r="C70" s="67" t="s">
        <v>46</v>
      </c>
      <c r="D70" s="60">
        <v>1</v>
      </c>
      <c r="E70" s="102" t="str">
        <f t="shared" si="8"/>
        <v/>
      </c>
      <c r="F70" s="76" t="str">
        <f t="shared" si="9"/>
        <v/>
      </c>
      <c r="G70" s="75" t="str">
        <f t="shared" ref="G70:G77" si="14">IF(H70="","",H70*$F$14)</f>
        <v/>
      </c>
      <c r="H70" s="82" t="str">
        <f>IF(AND(OR(F48=32,F48=33),H55&lt;&gt;"",H58&lt;&gt;""),H55-H58,IF(AND(OR(F48=32,F48=33),H56&lt;&gt;"",H58&lt;&gt;""),H56-H58,IF(AND(OR(F48=32,F48=33),F49="oui",F52="non"),H55-H59,IF(AND(OR(F48=32,F48=33),F49="non",F52="non"),H55-H65,IF(AND(OR(F48=32,F48=33),F49="oui",F52="oui"),H56-H59,IF(AND(OR(F48=32,F48=33),F49="non",F52="oui"),H56-H65,""))))))</f>
        <v/>
      </c>
      <c r="I70"/>
      <c r="J70" s="67" t="s">
        <v>46</v>
      </c>
      <c r="K70" s="60">
        <v>1</v>
      </c>
      <c r="L70" s="61" t="str">
        <f t="shared" si="11"/>
        <v/>
      </c>
      <c r="M70" s="61" t="str">
        <f>IF(N70="","",N70*L51)</f>
        <v/>
      </c>
      <c r="N70" s="68" t="str">
        <f>IF(AND(OR(L48=32,L48=33),L50="oui",L52="non"),N55-N58,IF(AND(L48=32,L49="oui",L52="oui"),N55-N59,IF(AND(L48=33,L49="oui",L52="oui"),N55-N60,IF(AND(OR(L48=32,L48=33),L49="non",L52="oui"),N55-N65,IF(AND(OR(L48=32,L48=33),L49="oui",L52="non"),N55-N59,IF(AND(OR(L48=32,L48=33),L49="non",L52="non"),N55-N65,""))))))</f>
        <v/>
      </c>
    </row>
    <row r="71" spans="3:14">
      <c r="C71" s="67" t="s">
        <v>47</v>
      </c>
      <c r="D71" s="60">
        <v>1</v>
      </c>
      <c r="E71" s="102" t="str">
        <f t="shared" si="8"/>
        <v/>
      </c>
      <c r="F71" s="76" t="str">
        <f>IF(H71="","",ROUNDUP(H71+G71,0))</f>
        <v/>
      </c>
      <c r="G71" s="75" t="str">
        <f t="shared" si="14"/>
        <v/>
      </c>
      <c r="H71" s="82" t="str">
        <f>IF(AND(OR(F48=34,F48=35),H55&lt;&gt;"",H58&lt;&gt;""),H55-H58,IF(AND(OR(F48=34,F48=35),H56&lt;&gt;"",H58&lt;&gt;""),H56-H58,IF(AND(F48=34,F49="oui",F52="non"),H55-H59,IF(AND(F48=35,F49="oui",F52="non"),H55-H60,IF(AND(OR(F48=34,F48=35),F49="non",F52="non"),H55-H65,IF(AND(F48=34,F49="oui",F52="oui"),H56-H59,IF(AND(F48=35,F49="oui",F52="oui"),H56-H60,IF(AND(OR(F48=34,F48=35),F49="non",F52="oui"),H56-H65,""))))))))</f>
        <v/>
      </c>
      <c r="I71"/>
      <c r="J71" s="67" t="s">
        <v>47</v>
      </c>
      <c r="K71" s="60">
        <v>1</v>
      </c>
      <c r="L71" s="61" t="str">
        <f t="shared" si="11"/>
        <v/>
      </c>
      <c r="M71" s="61" t="str">
        <f>IF(N71="","",N71*L51)</f>
        <v/>
      </c>
      <c r="N71" s="68" t="str">
        <f>IF(AND(OR(L48=34,L48=35),L50="oui",L52="non"),N55-N58,IF(AND(OR(L48=34,L48=35),L49="oui",L52="oui"),N55-N60,IF(AND(L48=34,L49="non",L52="oui"),N55-N65,IF(AND(L48=35,L49="non",L52="oui"),N55-N66,IF(AND(L48=34,L49="oui",L52="non"),N55-N59,IF(AND(L48=35,L49="oui",L52="non"),N55-N60,IF(AND(OR(L48=34,L48=35),L49="non",L52="non"),N55-N65,"")))))))</f>
        <v/>
      </c>
    </row>
    <row r="72" spans="3:14">
      <c r="C72" s="67" t="s">
        <v>48</v>
      </c>
      <c r="D72" s="60">
        <v>1</v>
      </c>
      <c r="E72" s="102" t="str">
        <f t="shared" si="8"/>
        <v/>
      </c>
      <c r="F72" s="76" t="str">
        <f t="shared" ref="F72:F77" si="15">IF(H72="","",ROUNDUP(H72+G72,0))</f>
        <v/>
      </c>
      <c r="G72" s="75" t="str">
        <f t="shared" si="14"/>
        <v/>
      </c>
      <c r="H72" s="82" t="str">
        <f>IF(AND(OR(F48=36,F48=37),H55&lt;&gt;"",H58&lt;&gt;""),H55-H58,IF(AND(OR(F48=36,F48=37),H56&lt;&gt;"",H58&lt;&gt;""),H56-H58,IF(AND(F48=36,F49="oui",F52="non"),H55-H60,IF(AND(F48=36,F49="non",F52="non"),H55-H65,IF(AND(F48=37,F49="oui",F52="non"),H55-H60,IF(AND(F48=37,F49="non",F52="non"),H55-H66,IF(AND(F48=36,F49="oui",F52="oui"),H56-H60,IF(AND(F48=36,F49="non",F52="oui"),H56-H65,IF(AND(F48=37,F49="oui",F52="oui"),H56-H60,IF(AND(F48=37,F49="non",F52="oui"),H56-H66,""))))))))))</f>
        <v/>
      </c>
      <c r="I72"/>
      <c r="J72" s="67" t="s">
        <v>48</v>
      </c>
      <c r="K72" s="60">
        <v>1</v>
      </c>
      <c r="L72" s="61" t="str">
        <f t="shared" si="11"/>
        <v/>
      </c>
      <c r="M72" s="61" t="str">
        <f>IF(N72="","",N72*L51)</f>
        <v/>
      </c>
      <c r="N72" s="68" t="str">
        <f>IF(AND(OR(L48=36,L48=37),L50="oui",L52="non"),N55-N58,IF(AND(OR(L48=36,L48=37),L49="oui",L52="oui"),N55-N60,IF(AND(OR(L48=36,L48=37),L49="non",L52="oui"),N55-N66,IF(AND(OR(L48=36,L48=37),L49="oui",L52="non"),N55-N60,IF(AND(L48=36,L49="non",L52="non"),N55-N65,IF(AND(L48=37,L49="non",L52="non"),N55-N66,""))))))</f>
        <v/>
      </c>
    </row>
    <row r="73" spans="3:14">
      <c r="C73" s="67" t="s">
        <v>49</v>
      </c>
      <c r="D73" s="60">
        <v>1</v>
      </c>
      <c r="E73" s="102" t="str">
        <f t="shared" si="8"/>
        <v/>
      </c>
      <c r="F73" s="76" t="str">
        <f t="shared" si="15"/>
        <v/>
      </c>
      <c r="G73" s="75" t="str">
        <f t="shared" si="14"/>
        <v/>
      </c>
      <c r="H73" s="82" t="str">
        <f>IF(AND(OR(F48=38,F48=39),H55&lt;&gt;"",H58&lt;&gt;""),H55-H58,IF(AND(OR(F48=36,F48=37),H56&lt;&gt;"",H58&lt;&gt;""),H56-H58,IF(AND(OR(F48=38,F48=39),F49="oui",F52="non"),H55-H60,IF(AND(OR(F48=38,F48=39),F49="non",F52="non"),H55-H66,IF(AND(OR(F48=38,F48=39),F49="oui",F52="oui"),H56-H60,IF(AND(OR(F48=38,F48=39),F49="non",F52="oui"),H56-H66,""))))))</f>
        <v/>
      </c>
      <c r="I73"/>
      <c r="J73" s="67" t="s">
        <v>49</v>
      </c>
      <c r="K73" s="60">
        <v>1</v>
      </c>
      <c r="L73" s="61" t="str">
        <f t="shared" si="11"/>
        <v/>
      </c>
      <c r="M73" s="61" t="str">
        <f>IF(N73="","",N73*L51)</f>
        <v/>
      </c>
      <c r="N73" s="68" t="str">
        <f>IF(AND(OR(L48=38,L48=39),L50="oui",L52="non"),N55-N58,IF(AND(OR(L48=38,L48=39),L49="oui",L52="oui"),N55-N61,IF(AND(OR(L48=38,L48=39),L49="non",L52="oui"),N55-N66,IF(AND(OR(L48=38,L48=39),L49="oui",L52="non"),N55-N60,IF(AND(OR(L48=38,L48=39),L49="non",L52="non"),N55-N66,"")))))</f>
        <v/>
      </c>
    </row>
    <row r="74" spans="3:14">
      <c r="C74" s="67" t="s">
        <v>50</v>
      </c>
      <c r="D74" s="60">
        <v>1</v>
      </c>
      <c r="E74" s="102" t="str">
        <f t="shared" si="8"/>
        <v/>
      </c>
      <c r="F74" s="76" t="str">
        <f t="shared" si="15"/>
        <v/>
      </c>
      <c r="G74" s="75" t="str">
        <f t="shared" si="14"/>
        <v/>
      </c>
      <c r="H74" s="82" t="str">
        <f>IF(AND(OR(F48=40,F48=41),H55&lt;&gt;"",H58&lt;&gt;""),H55-H58,IF(AND(OR(F48=40,F48=41),H56&lt;&gt;"",H58&lt;&gt;""),H56-H58,IF(AND(OR(F48=40,F48=41),F49="oui",F52="non"),H55-H61,IF(AND(OR(F48=40,F48=41),F49="non",F52="non"),H55-H66,IF(AND(OR(F48=40,F48=41),F49="oui",F52="oui"),H56-H61,IF(AND(OR(F48=40,F48=41),F49="non",F52="oui"),H56-H66,""))))))</f>
        <v/>
      </c>
      <c r="I74"/>
      <c r="J74" s="67" t="s">
        <v>50</v>
      </c>
      <c r="K74" s="60">
        <v>1</v>
      </c>
      <c r="L74" s="61" t="str">
        <f t="shared" si="11"/>
        <v/>
      </c>
      <c r="M74" s="61" t="str">
        <f>IF(N74="","",N74*L51)</f>
        <v/>
      </c>
      <c r="N74" s="68" t="str">
        <f>IF(AND(OR(L48=40,L48=41),L50="oui",L52="non"),N55-N58,IF(AND(OR(L48=40,L48=41),L49="oui",L52="oui"),N55-N61,IF(AND(OR(L48=40,L48=41),L49="non",L52="oui"),N55-N67,IF(AND(OR(L48=40,L48=41),L49="oui",L52="non"),N55-N61,IF(AND(OR(L48=40,L48=41),L49="non",L52="non"),N55-N66,"")))))</f>
        <v/>
      </c>
    </row>
    <row r="75" spans="3:14">
      <c r="C75" s="67" t="s">
        <v>51</v>
      </c>
      <c r="D75" s="60">
        <v>1</v>
      </c>
      <c r="E75" s="102" t="str">
        <f t="shared" si="8"/>
        <v/>
      </c>
      <c r="F75" s="76" t="str">
        <f t="shared" si="15"/>
        <v/>
      </c>
      <c r="G75" s="75" t="str">
        <f t="shared" si="14"/>
        <v/>
      </c>
      <c r="H75" s="82" t="str">
        <f>IF(AND(OR(F48=42,F48=43,F48=44),H55&lt;&gt;"",H58&lt;&gt;""),H55-H58,IF(AND(OR(F48=42,F48=43,F48=44),H56&lt;&gt;"",H58&lt;&gt;""),H56-H58,IF(AND(AND(F48&gt;=42,F48&lt;=44),F49="oui",F52="non"),H55-H61,IF(AND(AND(F48&gt;=42,F48&lt;=44),F49="non",F52="non"),H55-H67,IF(AND(AND(F48&gt;=42,F48&lt;=44),F49="oui",F52="oui"),H56-H61,IF(AND(AND(F48&gt;=42,F48&lt;=44),F49="non",F52="oui"),H56-H67,""))))))</f>
        <v/>
      </c>
      <c r="I75"/>
      <c r="J75" s="67" t="s">
        <v>51</v>
      </c>
      <c r="K75" s="60">
        <v>1</v>
      </c>
      <c r="L75" s="61" t="str">
        <f t="shared" si="11"/>
        <v/>
      </c>
      <c r="M75" s="61" t="str">
        <f>IF(N75="","",N75*L51)</f>
        <v/>
      </c>
      <c r="N75" s="68" t="str">
        <f>IF(AND(OR(L48=42,L48=43,L48=44),L50="oui",L52="non"),N55-N58,IF(AND(L48=42,L49="oui",L52="oui"),N55-N61,IF(AND(OR(L48=42,L48=43),L49="oui",L52="oui"),N55-N62,IF(AND(OR(L48=42,L48=43,L48=44),L49="non",L52="oui"),N55-N67,IF(AND(OR(L48=42,L48=43,L48=44),L49="oui",L52="non"),N55-N61,IF(AND(OR(L48=42,L48=43,L48=44),L49="non",L52="non"),N55-N67,""))))))</f>
        <v/>
      </c>
    </row>
    <row r="76" spans="3:14">
      <c r="C76" s="67" t="s">
        <v>52</v>
      </c>
      <c r="D76" s="60">
        <v>1</v>
      </c>
      <c r="E76" s="105" t="str">
        <f t="shared" si="8"/>
        <v/>
      </c>
      <c r="F76" s="83" t="str">
        <f t="shared" si="15"/>
        <v/>
      </c>
      <c r="G76" s="75" t="str">
        <f t="shared" si="14"/>
        <v/>
      </c>
      <c r="H76" s="82" t="str">
        <f>IF(AND(OR(F48=45,F48=46,F48=47,F48=48,F48=49),H55&lt;&gt;"",H58&lt;&gt;""),H55-H58,IF(AND(OR(F48=45,F48=46,F48=47,F48=48,F48=49),H56&lt;&gt;"",H58&lt;&gt;""),H56-H58,IF(AND(OR(F48=45,F48=46),F49="oui",F52="non"),H55-H62,IF(AND(OR(F48=45,F48=46),F49="non",F52="non"),H55-H67,IF(AND(AND(F48&gt;=47,F48&lt;=49),F49="oui",F52="non"),H55-H62,IF(AND(AND(F48&gt;=47,F48&lt;=49),F49="non",F52="non"),H55-H68,IF(AND(OR(F48=45,F48=46),F49="oui",F52="oui"),H56-H62,IF(AND(OR(F48=45,F48=46),F49="non",F52="oui"),H56-H67,IF(AND(AND(F48&gt;=47,F48&lt;=49),F49="oui",F52="oui"),H56-H62,IF(AND(AND(F48&gt;=47,F48&lt;=49),F49="non",F52="oui"),H56-H68,""))))))))))</f>
        <v/>
      </c>
      <c r="I76"/>
      <c r="J76" s="67" t="s">
        <v>52</v>
      </c>
      <c r="K76" s="60">
        <v>1</v>
      </c>
      <c r="L76" s="61" t="str">
        <f t="shared" si="11"/>
        <v/>
      </c>
      <c r="M76" s="61" t="str">
        <f>IF(N76="","",N76*L51)</f>
        <v/>
      </c>
      <c r="N76" s="68" t="str">
        <f>IF(AND(AND(L48&gt;=45,L48&lt;=49),L50="oui",L52="non"),N55-N58,IF(AND(OR(L48=45,L48=46,L48=47),L49="oui",L52="oui"),N55-N62,IF(AND(OR(L48=48,L48=49),L49="oui",L52="oui"),N55-N63,IF(AND(AND(L48&gt;=45,L48&lt;=49),L49="non",L52="oui"),N55-N68,IF(AND(AND(L48&gt;=45,L48&lt;=49),L49="oui",L52="non"),N55-N62,IF(AND(OR(L48=45,L48=46),L49="non",L52="non"),N55-N67,IF(AND(AND(L48&gt;=47,L48&lt;=49),L49="non",L52="non"),N55-N68,"")))))))</f>
        <v/>
      </c>
    </row>
    <row r="77" spans="3:14" ht="15" thickBot="1">
      <c r="C77" s="69" t="s">
        <v>53</v>
      </c>
      <c r="D77" s="70">
        <v>1</v>
      </c>
      <c r="E77" s="104" t="str">
        <f t="shared" si="8"/>
        <v/>
      </c>
      <c r="F77" s="86" t="str">
        <f t="shared" si="15"/>
        <v/>
      </c>
      <c r="G77" s="84" t="str">
        <f t="shared" si="14"/>
        <v/>
      </c>
      <c r="H77" s="85" t="str">
        <f>IF(AND(F48=50,H55&lt;&gt;"",H58&lt;&gt;""),H55-H58,IF(AND(F48=50,H56&lt;&gt;"",H58&lt;&gt;""),H56-H58,IF(AND(F48=50,F49="oui",F52="non"),H55-H63,IF(AND(F48=50,F49="non",F52="non"),H55-H68,IF(AND(F48=50,F49="oui",F52="oui"),H56-H63,IF(AND(F48=50,F49="non",F52="oui"),H56-H68,""))))))</f>
        <v/>
      </c>
      <c r="I77"/>
      <c r="J77" s="69" t="s">
        <v>53</v>
      </c>
      <c r="K77" s="70">
        <v>1</v>
      </c>
      <c r="L77" s="71" t="str">
        <f t="shared" si="11"/>
        <v/>
      </c>
      <c r="M77" s="71" t="str">
        <f>IF(N77="","",N77*L51)</f>
        <v/>
      </c>
      <c r="N77" s="236" t="str">
        <f>IF(AND(L48=50,L50="oui",L52="non"),N55-N58,IF(AND(L48=50,L49="oui",L52="oui"),N55-N63,IF(AND(L48=50,L49="non",L52="oui"),N55-N68,IF(AND(L48=50,L49="oui",L52="non"),N55-N63,IF(AND(L48=50,L49="non",L52="non"),N55-N68,"")))))</f>
        <v/>
      </c>
    </row>
    <row r="78" spans="3:14" ht="15" thickBot="1">
      <c r="C78" s="205" t="s">
        <v>105</v>
      </c>
      <c r="D78" s="206">
        <v>1</v>
      </c>
      <c r="E78" s="207">
        <f t="shared" si="8"/>
        <v>0</v>
      </c>
      <c r="F78" s="197">
        <f>IF(H78="","",ROUNDUP(H78+G78,0))</f>
        <v>0</v>
      </c>
      <c r="G78" s="197">
        <f>IF(H78="","",H78*$F$14)</f>
        <v>0</v>
      </c>
      <c r="H78" s="197">
        <f>IF(F47="","",(IF(OR(F48=30,F48=31),F69/2, IF(OR(F48=32,F48=33),F70/2,IF(OR(F48=34,F48=35),F71/2,IF(OR(F48=36,F48=37),F72/2,IF(OR(F48=38,F48=39),F73/2,IF(OR(F48=40,F48=41),F74/2,IF(OR(F48=42,F48=43,F48=44),F75/2,IF(OR(F48=45,F48=46,F48=47,F48=48,F48=49),F76/2,IF(F48=50,F77/2)))))))))))</f>
        <v>0</v>
      </c>
      <c r="I78"/>
      <c r="J78" s="205" t="s">
        <v>105</v>
      </c>
      <c r="K78" s="206">
        <v>1</v>
      </c>
      <c r="L78" s="197">
        <f>IF(N78="","",ROUNDUP(N78+M78,0))</f>
        <v>0</v>
      </c>
      <c r="M78" s="197">
        <f>IF(N78="","",N78*$F$14)</f>
        <v>0</v>
      </c>
      <c r="N78" s="197">
        <f>IF(L47="","",(IF(L52="oui",L45,(IF(OR(L48=30,L48=31),L69/2,IF(OR(L48=32,L48=33),L70/2,IF(OR(L48=34,L48=35),L71/2,IF(OR(L48=36,L48=37),L72/2,IF(OR(L48=38,L48=39),L73/2,IF(OR(L48=40,L48=41),L74/2,IF(OR(L48=42,L48=43,L48=44),L75/2,IF(OR(L48=45,L48=46,L48=47,L48=48,L48=49),L76/2,IF(L48=50,L77/2)))))))))))))</f>
        <v>0</v>
      </c>
    </row>
    <row r="79" spans="3:14" ht="15" thickBot="1"/>
    <row r="80" spans="3:14" ht="15" thickBot="1">
      <c r="C80" s="337" t="s">
        <v>192</v>
      </c>
      <c r="D80" s="338"/>
      <c r="E80" s="338"/>
      <c r="F80" s="339"/>
      <c r="J80" s="337" t="s">
        <v>193</v>
      </c>
      <c r="K80" s="338"/>
      <c r="L80" s="339"/>
    </row>
    <row r="81" spans="3:14">
      <c r="C81" s="340" t="s">
        <v>15</v>
      </c>
      <c r="D81" s="340"/>
      <c r="E81" s="175"/>
      <c r="F81" s="101" t="s">
        <v>25</v>
      </c>
      <c r="G81" s="176"/>
      <c r="H81" s="40"/>
      <c r="J81" s="341" t="s">
        <v>128</v>
      </c>
      <c r="K81" s="341"/>
      <c r="L81" s="177" t="s">
        <v>25</v>
      </c>
      <c r="M81" s="178"/>
      <c r="N81" s="178"/>
    </row>
    <row r="82" spans="3:14">
      <c r="C82" s="336" t="s">
        <v>26</v>
      </c>
      <c r="D82" s="336"/>
      <c r="E82" s="179"/>
      <c r="F82" s="14">
        <v>0</v>
      </c>
      <c r="G82" s="19"/>
      <c r="H82" s="180"/>
      <c r="J82" s="336" t="s">
        <v>26</v>
      </c>
      <c r="K82" s="336"/>
      <c r="L82" s="42">
        <v>0</v>
      </c>
      <c r="M82" s="181"/>
      <c r="N82" s="182"/>
    </row>
    <row r="83" spans="3:14" ht="14.25" customHeight="1">
      <c r="C83" s="336" t="s">
        <v>27</v>
      </c>
      <c r="D83" s="336"/>
      <c r="E83" s="179"/>
      <c r="F83" s="14">
        <v>0</v>
      </c>
      <c r="G83" s="19"/>
      <c r="H83" s="180"/>
      <c r="J83" s="336" t="s">
        <v>27</v>
      </c>
      <c r="K83" s="336"/>
      <c r="L83" s="42">
        <v>0</v>
      </c>
      <c r="M83" s="181"/>
      <c r="N83" s="182"/>
    </row>
    <row r="84" spans="3:14">
      <c r="C84" s="336" t="s">
        <v>28</v>
      </c>
      <c r="D84" s="336"/>
      <c r="E84" s="179"/>
      <c r="F84" s="14">
        <v>0</v>
      </c>
      <c r="G84" s="19"/>
      <c r="H84" s="180"/>
      <c r="J84" s="336" t="s">
        <v>28</v>
      </c>
      <c r="K84" s="336"/>
      <c r="L84" s="42">
        <v>0</v>
      </c>
      <c r="M84" s="181"/>
      <c r="N84" s="182"/>
    </row>
    <row r="85" spans="3:14">
      <c r="C85" s="336" t="s">
        <v>29</v>
      </c>
      <c r="D85" s="336"/>
      <c r="E85" s="179"/>
      <c r="F85" s="14">
        <v>30</v>
      </c>
      <c r="G85" s="19"/>
      <c r="H85" s="180"/>
      <c r="J85" s="336" t="s">
        <v>136</v>
      </c>
      <c r="K85" s="336"/>
      <c r="L85" s="14"/>
      <c r="M85" s="181"/>
      <c r="N85" s="182"/>
    </row>
    <row r="86" spans="3:14">
      <c r="C86" s="336" t="s">
        <v>270</v>
      </c>
      <c r="D86" s="336"/>
      <c r="E86" s="179"/>
      <c r="F86" s="14" t="s">
        <v>33</v>
      </c>
      <c r="G86" s="19"/>
      <c r="H86" s="180"/>
      <c r="J86" s="336" t="s">
        <v>270</v>
      </c>
      <c r="K86" s="336"/>
      <c r="L86" s="14"/>
      <c r="M86" s="181"/>
      <c r="N86" s="182"/>
    </row>
    <row r="87" spans="3:14">
      <c r="C87" s="336" t="s">
        <v>272</v>
      </c>
      <c r="D87" s="336"/>
      <c r="E87" s="179"/>
      <c r="F87" s="14" t="s">
        <v>33</v>
      </c>
      <c r="G87" s="19"/>
      <c r="H87" s="180"/>
      <c r="J87" s="331" t="s">
        <v>269</v>
      </c>
      <c r="K87" s="332"/>
      <c r="L87" s="14"/>
      <c r="M87" s="181"/>
      <c r="N87" s="182"/>
    </row>
    <row r="88" spans="3:14">
      <c r="C88" s="336" t="s">
        <v>146</v>
      </c>
      <c r="D88" s="336"/>
      <c r="E88" s="179"/>
      <c r="F88" s="15">
        <v>0</v>
      </c>
      <c r="G88" s="16"/>
      <c r="H88"/>
      <c r="J88" s="336" t="s">
        <v>135</v>
      </c>
      <c r="K88" s="336"/>
      <c r="L88" s="15"/>
      <c r="M88" s="183"/>
      <c r="N88" s="184"/>
    </row>
    <row r="89" spans="3:14">
      <c r="C89" s="334" t="s">
        <v>250</v>
      </c>
      <c r="D89" s="334"/>
      <c r="E89" s="179"/>
      <c r="F89" s="239" t="s">
        <v>65</v>
      </c>
      <c r="G89" s="185"/>
      <c r="H89"/>
      <c r="J89" s="334" t="s">
        <v>252</v>
      </c>
      <c r="K89" s="334"/>
      <c r="L89" s="239"/>
      <c r="M89" s="181"/>
      <c r="N89" s="182"/>
    </row>
    <row r="90" spans="3:14" ht="15" thickBot="1">
      <c r="C90"/>
      <c r="D90"/>
      <c r="E90"/>
      <c r="H90"/>
      <c r="J90" s="335"/>
      <c r="K90" s="335"/>
      <c r="L90" s="41"/>
      <c r="M90" s="41"/>
      <c r="N90" s="186"/>
    </row>
    <row r="91" spans="3:14">
      <c r="C91" s="187" t="s">
        <v>34</v>
      </c>
      <c r="D91" s="188" t="s">
        <v>35</v>
      </c>
      <c r="E91" s="188"/>
      <c r="F91" s="188" t="s">
        <v>25</v>
      </c>
      <c r="G91" s="80" t="str">
        <f>IF(H91="","",H91*F88)</f>
        <v/>
      </c>
      <c r="H91" s="81"/>
      <c r="I91"/>
      <c r="J91" s="189" t="s">
        <v>34</v>
      </c>
      <c r="K91" s="189" t="s">
        <v>35</v>
      </c>
      <c r="L91" s="177" t="s">
        <v>25</v>
      </c>
      <c r="M91" s="178"/>
      <c r="N91" s="178"/>
    </row>
    <row r="92" spans="3:14">
      <c r="C92" s="67" t="s">
        <v>38</v>
      </c>
      <c r="D92" s="60">
        <v>1</v>
      </c>
      <c r="E92" s="102">
        <f>F92</f>
        <v>0</v>
      </c>
      <c r="F92" s="74">
        <f>IF(H92="","",ROUNDUP(G92+H92,0))</f>
        <v>0</v>
      </c>
      <c r="G92" s="75">
        <f>IF(H92="","",H92*F88)</f>
        <v>0</v>
      </c>
      <c r="H92" s="82">
        <f>IF(OR(F89="oui",F89=""),"",IF((F89="non"),IF(OR(F82="",F84=""),"",(F82+F84)*2)))</f>
        <v>0</v>
      </c>
      <c r="I92"/>
      <c r="J92" s="59" t="s">
        <v>134</v>
      </c>
      <c r="K92" s="60">
        <v>1</v>
      </c>
      <c r="L92" s="61">
        <f>IF(N92="","",ROUNDUP(N92+M92+1,0))</f>
        <v>1</v>
      </c>
      <c r="M92" s="61">
        <f>IF(N92="","",N92*L88)</f>
        <v>0</v>
      </c>
      <c r="N92" s="62" t="b">
        <f>IF(OR(L82="",L83=""),"",IF(L89="non",((L82*2)+(L83*2)),IF(L89="oui",((L82*2)+(L84*2)))))</f>
        <v>0</v>
      </c>
    </row>
    <row r="93" spans="3:14">
      <c r="C93" s="67" t="s">
        <v>249</v>
      </c>
      <c r="D93" s="60">
        <v>1</v>
      </c>
      <c r="E93" s="102" t="str">
        <f>F93</f>
        <v/>
      </c>
      <c r="F93" s="74" t="str">
        <f>IF(H93="","",ROUNDUP(G93+H93,0))</f>
        <v/>
      </c>
      <c r="G93" s="75" t="str">
        <f>IF(H93="","",H93*F88)</f>
        <v/>
      </c>
      <c r="H93" s="82" t="str">
        <f>IF(OR(F89="non",F89=""),"",IF((F89="oui"),IF(OR(F82="",F84=""),"",(F82+F84)*2)))</f>
        <v/>
      </c>
      <c r="I93"/>
      <c r="J93" s="59" t="s">
        <v>253</v>
      </c>
      <c r="K93" s="60">
        <v>1</v>
      </c>
      <c r="L93" s="61" t="str">
        <f>IF(N93="","",ROUNDUP(N93+M93+1,0))</f>
        <v/>
      </c>
      <c r="M93" s="61" t="str">
        <f>IF(N93="","",N93*L88)</f>
        <v/>
      </c>
      <c r="N93" s="62" t="str">
        <f>IF(L89="oui",N92,"")</f>
        <v/>
      </c>
    </row>
    <row r="94" spans="3:14" ht="15" thickBot="1">
      <c r="C94" s="69" t="s">
        <v>39</v>
      </c>
      <c r="D94" s="70">
        <v>100</v>
      </c>
      <c r="E94" s="104">
        <f>F94</f>
        <v>0</v>
      </c>
      <c r="F94" s="190">
        <f>IF(H94="","",ROUNDUP(G94+H94,0))</f>
        <v>0</v>
      </c>
      <c r="G94" s="191">
        <f>IF(H94="","",H94*F88)</f>
        <v>0</v>
      </c>
      <c r="H94" s="85">
        <f>IF(AND(H92="",H93=""),"",IF(H92&lt;&gt;"",(H92*3)/100,IF(H93&lt;&gt;"",(H93*3)/100)))</f>
        <v>0</v>
      </c>
      <c r="I94"/>
      <c r="J94" s="77" t="s">
        <v>39</v>
      </c>
      <c r="K94" s="78">
        <v>100</v>
      </c>
      <c r="L94" s="192">
        <f>IF(N94="","",ROUNDUP(N94+M94,0))</f>
        <v>1</v>
      </c>
      <c r="M94" s="192">
        <f>IF(N94="","",N94*L88)</f>
        <v>0</v>
      </c>
      <c r="N94" s="193">
        <f>IF(N92="","",(L92*4)/100)</f>
        <v>0.04</v>
      </c>
    </row>
    <row r="95" spans="3:14" ht="15" thickBot="1">
      <c r="C95" s="312" t="s">
        <v>262</v>
      </c>
      <c r="D95" s="64">
        <v>1</v>
      </c>
      <c r="E95" s="194">
        <f t="shared" ref="E95:E115" si="16">F95</f>
        <v>0</v>
      </c>
      <c r="F95" s="195">
        <f t="shared" ref="F95:F107" si="17">IF(H95="","",ROUNDUP(H95+G95,0))</f>
        <v>0</v>
      </c>
      <c r="G95" s="196">
        <f t="shared" ref="G95" si="18">IF(H95="","",H95*$F$14)</f>
        <v>0</v>
      </c>
      <c r="H95" s="197">
        <f>IF(AND(F86="oui",F87="oui",F89="non"),H92-(F84*4),IF(AND(F86="oui",F87="oui",F89="oui"),H93-(F84*4),""))</f>
        <v>0</v>
      </c>
      <c r="I95"/>
      <c r="J95" s="312" t="s">
        <v>262</v>
      </c>
      <c r="K95" s="198">
        <v>1</v>
      </c>
      <c r="L95" s="199" t="str">
        <f t="shared" ref="L95:L114" si="19">IF(N95="","",ROUNDUP(N95+M95,0))</f>
        <v/>
      </c>
      <c r="M95" s="199" t="str">
        <f>IF(N95="","",N95*L88)</f>
        <v/>
      </c>
      <c r="N95" s="200" t="str">
        <f>IF(AND(L86="oui",L87="oui",L89="non"),((L82-L83)*2),"")</f>
        <v/>
      </c>
    </row>
    <row r="96" spans="3:14">
      <c r="C96" s="313" t="s">
        <v>263</v>
      </c>
      <c r="D96" s="64">
        <v>1</v>
      </c>
      <c r="E96" s="103" t="str">
        <f t="shared" si="16"/>
        <v/>
      </c>
      <c r="F96" s="87" t="str">
        <f t="shared" si="17"/>
        <v/>
      </c>
      <c r="G96" s="201" t="str">
        <f>IF(H96="","",H96*$F$14)</f>
        <v/>
      </c>
      <c r="H96" s="173" t="str">
        <f>IF(F87="oui","",IF(AND(AND(F85&gt;=30,F85&lt;=34),F86="oui",F87="non",F89="non"),H92-(F84*4),IF(AND(AND(F85&gt;=30,F85&lt;=34),F86="oui",F87="non",F89="oui"),H93-(F84*4),"")))</f>
        <v/>
      </c>
      <c r="I96"/>
      <c r="J96" s="313" t="s">
        <v>263</v>
      </c>
      <c r="K96" s="89">
        <v>1</v>
      </c>
      <c r="L96" s="73" t="str">
        <f t="shared" si="19"/>
        <v/>
      </c>
      <c r="M96" s="73" t="str">
        <f>IF(N96="","",N96*L88)</f>
        <v/>
      </c>
      <c r="N96" s="202" t="str">
        <f>IF(L87="oui","",IF(AND(L85&gt;=30,L85&lt;=34,L86="oui",L89="non"),((L82-L83)*2),IF(AND(AND(L85&gt;=30,L85&lt;=32),L86="oui",L89="oui"),((L82-L84)*2),"")))</f>
        <v/>
      </c>
    </row>
    <row r="97" spans="3:14">
      <c r="C97" s="67" t="s">
        <v>264</v>
      </c>
      <c r="D97" s="60">
        <v>1</v>
      </c>
      <c r="E97" s="102" t="str">
        <f t="shared" si="16"/>
        <v/>
      </c>
      <c r="F97" s="76" t="str">
        <f t="shared" si="17"/>
        <v/>
      </c>
      <c r="G97" s="201" t="str">
        <f t="shared" ref="G97:G100" si="20">IF(H97="","",H97*$F$14)</f>
        <v/>
      </c>
      <c r="H97" s="82" t="str">
        <f>IF(F87="oui","",IF(AND(AND(F85&gt;=35,F85&lt;=39),F86="oui",F89="non"),H92-(F84*4),IF(AND(AND(F85&gt;=35,F85&lt;=39),F86="oui",F89="oui"),H93-(F84*4),"")))</f>
        <v/>
      </c>
      <c r="I97"/>
      <c r="J97" s="67" t="s">
        <v>264</v>
      </c>
      <c r="K97" s="60">
        <v>1</v>
      </c>
      <c r="L97" s="61" t="str">
        <f t="shared" si="19"/>
        <v/>
      </c>
      <c r="M97" s="61" t="str">
        <f>IF(N97="","",N97*L88)</f>
        <v/>
      </c>
      <c r="N97" s="68" t="str">
        <f>IF(L87="oui","",IF(AND(L85&gt;=35,L85&lt;=39,L86="oui",L89="non"),((L82-L83)*2),IF(AND(AND(L85&gt;=33,L85&lt;=37),L86="oui",L89="oui"),((L82-L84)*2),"")))</f>
        <v/>
      </c>
    </row>
    <row r="98" spans="3:14">
      <c r="C98" s="67" t="s">
        <v>265</v>
      </c>
      <c r="D98" s="60">
        <v>1</v>
      </c>
      <c r="E98" s="102" t="str">
        <f t="shared" si="16"/>
        <v/>
      </c>
      <c r="F98" s="76" t="str">
        <f t="shared" si="17"/>
        <v/>
      </c>
      <c r="G98" s="201" t="str">
        <f t="shared" si="20"/>
        <v/>
      </c>
      <c r="H98" s="82" t="str">
        <f>IF(F87="oui","",IF(AND(AND(F85&gt;=40,F85&lt;=44),F86="oui",F89="non"),H92-(F84*4),IF(AND(AND(F85&gt;=40,F85&lt;=44),F86="oui",F89="oui"),H93-(F84*4),"")))</f>
        <v/>
      </c>
      <c r="I98"/>
      <c r="J98" s="67" t="s">
        <v>265</v>
      </c>
      <c r="K98" s="60">
        <v>1</v>
      </c>
      <c r="L98" s="61" t="str">
        <f t="shared" si="19"/>
        <v/>
      </c>
      <c r="M98" s="61" t="str">
        <f>IF(N98="","",N98*L88)</f>
        <v/>
      </c>
      <c r="N98" s="68" t="str">
        <f>IF(L87="oui","",IF(AND(L85&gt;=40,L85&lt;=44,L86="oui",L89="non"),((L82-L83)*2),IF(AND(AND(L85&gt;=38,L85&lt;=42),L86="oui",L89="oui"),((L82-L84)*2),"")))</f>
        <v/>
      </c>
    </row>
    <row r="99" spans="3:14">
      <c r="C99" s="67" t="s">
        <v>266</v>
      </c>
      <c r="D99" s="60">
        <v>1</v>
      </c>
      <c r="E99" s="102" t="str">
        <f t="shared" si="16"/>
        <v/>
      </c>
      <c r="F99" s="76" t="str">
        <f t="shared" si="17"/>
        <v/>
      </c>
      <c r="G99" s="201" t="str">
        <f t="shared" si="20"/>
        <v/>
      </c>
      <c r="H99" s="82" t="str">
        <f>IF(F87="oui","",IF(AND(AND(F85&gt;=45,F85&lt;=49),F86="oui",F89="non"),H92-(F84*4),IF(AND(AND(F85&gt;=45,F85&lt;=49),F86="oui",F89="oui"),H93-(F84*4),"")))</f>
        <v/>
      </c>
      <c r="I99"/>
      <c r="J99" s="67" t="s">
        <v>266</v>
      </c>
      <c r="K99" s="60">
        <v>1</v>
      </c>
      <c r="L99" s="61" t="str">
        <f t="shared" si="19"/>
        <v/>
      </c>
      <c r="M99" s="61" t="str">
        <f>IF(N99="","",N99*L88)</f>
        <v/>
      </c>
      <c r="N99" s="68" t="str">
        <f>IF(L87="oui","",IF(AND(L85&gt;=45,L85&lt;=49,L86="oui",L89="non"),((L82-L83)*2),IF(AND(AND(L85&gt;=43,L85&lt;=47),L86="oui",L89="oui"),((L82-L84)*2),"")))</f>
        <v/>
      </c>
    </row>
    <row r="100" spans="3:14" ht="15" thickBot="1">
      <c r="C100" s="69" t="s">
        <v>267</v>
      </c>
      <c r="D100" s="70">
        <v>1</v>
      </c>
      <c r="E100" s="104" t="str">
        <f t="shared" si="16"/>
        <v/>
      </c>
      <c r="F100" s="83" t="str">
        <f t="shared" si="17"/>
        <v/>
      </c>
      <c r="G100" s="201" t="str">
        <f t="shared" si="20"/>
        <v/>
      </c>
      <c r="H100" s="85" t="str">
        <f>IF(F87="oui","",IF(AND(F85=50,F86="oui",F89="non"),H92-(F84*4),IF(AND(F85=50,F86="oui",F89="oui"),H93-(F84*4),"")))</f>
        <v/>
      </c>
      <c r="I100"/>
      <c r="J100" s="69" t="s">
        <v>267</v>
      </c>
      <c r="K100" s="70">
        <v>1</v>
      </c>
      <c r="L100" s="71" t="str">
        <f t="shared" si="19"/>
        <v/>
      </c>
      <c r="M100" s="71" t="str">
        <f>IF(N100="","",N100*L88)</f>
        <v/>
      </c>
      <c r="N100" s="72" t="str">
        <f>IF(L87="oui","",IF(AND(L85=50,L86="oui",L89="non"),((L82-L83)*2),IF(AND(AND(L85&gt;=48,L85&lt;=50),L86="oui",L89="oui"),((L82-L84)*2),"")))</f>
        <v/>
      </c>
    </row>
    <row r="101" spans="3:14">
      <c r="C101" s="63" t="s">
        <v>40</v>
      </c>
      <c r="D101" s="64">
        <v>1</v>
      </c>
      <c r="E101" s="103" t="str">
        <f t="shared" si="16"/>
        <v/>
      </c>
      <c r="F101" s="79" t="str">
        <f t="shared" si="17"/>
        <v/>
      </c>
      <c r="G101" s="80" t="str">
        <f>IF(H101="","",H101*$F$14)</f>
        <v/>
      </c>
      <c r="H101" s="81" t="str">
        <f>IF(F87="oui","",IF(AND(OR(F85=30,F85=31),F86="non",F89="non"),H92-(F84*4),IF(AND(OR(F85=30,F85=31),F86="non",F89="oui"),H93-(F84*4),"")))</f>
        <v/>
      </c>
      <c r="I101"/>
      <c r="J101" s="63" t="s">
        <v>40</v>
      </c>
      <c r="K101" s="64">
        <v>1</v>
      </c>
      <c r="L101" s="65" t="str">
        <f t="shared" si="19"/>
        <v/>
      </c>
      <c r="M101" s="65" t="str">
        <f>IF(N101="","",N101*L88)</f>
        <v/>
      </c>
      <c r="N101" s="66" t="str">
        <f>IF(AND(OR(L85=30,L85=31),L86="non",L89="non"),((L82-L83)*2),"")</f>
        <v/>
      </c>
    </row>
    <row r="102" spans="3:14">
      <c r="C102" s="67" t="s">
        <v>41</v>
      </c>
      <c r="D102" s="60">
        <v>1</v>
      </c>
      <c r="E102" s="102" t="str">
        <f t="shared" si="16"/>
        <v/>
      </c>
      <c r="F102" s="76" t="str">
        <f t="shared" si="17"/>
        <v/>
      </c>
      <c r="G102" s="75" t="str">
        <f t="shared" ref="G102:G105" si="21">IF(H102="","",H102*$F$14)</f>
        <v/>
      </c>
      <c r="H102" s="82" t="str">
        <f>IF(F87="oui","",IF(AND(AND(F85&gt;=32,F85&lt;=36),F86="non",F89="non"),H92-(F84*4),IF(AND(AND(F85&gt;=32,F85&lt;=36),F86="non",F89="oui"),H93-(F84*4),"")))</f>
        <v/>
      </c>
      <c r="I102"/>
      <c r="J102" s="67" t="s">
        <v>41</v>
      </c>
      <c r="K102" s="60">
        <v>1</v>
      </c>
      <c r="L102" s="61" t="str">
        <f t="shared" si="19"/>
        <v/>
      </c>
      <c r="M102" s="61" t="str">
        <f>IF(N102="","",N102*L88)</f>
        <v/>
      </c>
      <c r="N102" s="68" t="str">
        <f>IF(L87="oui","",IF(AND(L85&gt;=32,L85&lt;=36,L86="non",L89="non"),((L82-L83)*2),IF(AND(AND(L85&gt;=30,L85&lt;=34),L86="non",L89="oui"),((L82-L84)*2),"")))</f>
        <v/>
      </c>
    </row>
    <row r="103" spans="3:14">
      <c r="C103" s="67" t="s">
        <v>42</v>
      </c>
      <c r="D103" s="60">
        <v>1</v>
      </c>
      <c r="E103" s="102" t="str">
        <f t="shared" si="16"/>
        <v/>
      </c>
      <c r="F103" s="76" t="str">
        <f t="shared" si="17"/>
        <v/>
      </c>
      <c r="G103" s="75" t="str">
        <f t="shared" si="21"/>
        <v/>
      </c>
      <c r="H103" s="82" t="str">
        <f>IF(F87="oui","",IF(AND(AND(F85&gt;=37,F85&lt;=41),F86="non",F89="non"),H92-(F84*4),IF(AND(AND(F85&gt;=37,F85&lt;=41),F86="non",F89="oui"),H93-(F84*4),"")))</f>
        <v/>
      </c>
      <c r="I103"/>
      <c r="J103" s="67" t="s">
        <v>42</v>
      </c>
      <c r="K103" s="60">
        <v>1</v>
      </c>
      <c r="L103" s="61" t="str">
        <f t="shared" si="19"/>
        <v/>
      </c>
      <c r="M103" s="61" t="str">
        <f>IF(N103="","",N103*L88)</f>
        <v/>
      </c>
      <c r="N103" s="68" t="str">
        <f>IF(L87="oui","",IF(AND(L85&gt;=37,L85&lt;=41,L86="non",L89="non"),((L82-L83)*2),IF(AND(AND(L85&gt;=35,L85&lt;=39),L86="non",L89="oui"),((L82-L84)*2),"")))</f>
        <v/>
      </c>
    </row>
    <row r="104" spans="3:14">
      <c r="C104" s="67" t="s">
        <v>43</v>
      </c>
      <c r="D104" s="60">
        <v>1</v>
      </c>
      <c r="E104" s="102" t="str">
        <f t="shared" si="16"/>
        <v/>
      </c>
      <c r="F104" s="76" t="str">
        <f t="shared" si="17"/>
        <v/>
      </c>
      <c r="G104" s="75" t="str">
        <f t="shared" si="21"/>
        <v/>
      </c>
      <c r="H104" s="82" t="str">
        <f>IF(F87="oui","",IF(AND(AND(F85&gt;=42,F85&lt;=46),F86="non",F89="non"),H92-(F84*4),IF(AND(AND(F85&gt;=42,F85&lt;=46),F86="non",F89="oui"),H93-(F84*4),"")))</f>
        <v/>
      </c>
      <c r="I104"/>
      <c r="J104" s="67" t="s">
        <v>43</v>
      </c>
      <c r="K104" s="60">
        <v>1</v>
      </c>
      <c r="L104" s="61" t="str">
        <f t="shared" si="19"/>
        <v/>
      </c>
      <c r="M104" s="61" t="str">
        <f>IF(N104="","",N104*L88)</f>
        <v/>
      </c>
      <c r="N104" s="68" t="str">
        <f>IF(L87="oui","",IF(AND(L85&gt;=42,L85&lt;=46,L86="non",L89="non"),((L82-L83)*2),IF(AND(AND(L85&gt;=40,L85&lt;=44),L86="non",L89="oui"),((L82-L84)*2),"")))</f>
        <v/>
      </c>
    </row>
    <row r="105" spans="3:14" ht="15" thickBot="1">
      <c r="C105" s="69" t="s">
        <v>44</v>
      </c>
      <c r="D105" s="70">
        <v>1</v>
      </c>
      <c r="E105" s="104" t="str">
        <f t="shared" si="16"/>
        <v/>
      </c>
      <c r="F105" s="86" t="str">
        <f t="shared" si="17"/>
        <v/>
      </c>
      <c r="G105" s="84" t="str">
        <f t="shared" si="21"/>
        <v/>
      </c>
      <c r="H105" s="85" t="str">
        <f>IF(F87="oui","",IF(AND(AND(F85&gt;=47,F85&lt;=50),F86="non",F89="non"),H92-(F84*4),IF(AND(AND(F85&gt;=47,F85&lt;=50),F86="non",F89="oui"),H93-(F84*4),"")))</f>
        <v/>
      </c>
      <c r="I105"/>
      <c r="J105" s="69" t="s">
        <v>44</v>
      </c>
      <c r="K105" s="70">
        <v>1</v>
      </c>
      <c r="L105" s="71" t="str">
        <f t="shared" si="19"/>
        <v/>
      </c>
      <c r="M105" s="71" t="str">
        <f>IF(N105="","",N105*L88)</f>
        <v/>
      </c>
      <c r="N105" s="72" t="str">
        <f>IF(L87="oui","",IF(AND(L85&gt;=47,L85&lt;=50,L86="non",L89="non"),((L82-L83)*2),IF(AND(AND(L85&gt;=45,L85&lt;=50),L86="non",L89="oui"),((L82-L84)*2),"")))</f>
        <v/>
      </c>
    </row>
    <row r="106" spans="3:14">
      <c r="C106" s="63" t="s">
        <v>45</v>
      </c>
      <c r="D106" s="64">
        <v>1</v>
      </c>
      <c r="E106" s="103">
        <f t="shared" si="16"/>
        <v>0</v>
      </c>
      <c r="F106" s="87">
        <f t="shared" si="17"/>
        <v>0</v>
      </c>
      <c r="G106" s="80">
        <f>IF(H106="","",H106*$F$14)</f>
        <v>0</v>
      </c>
      <c r="H106" s="88">
        <f>IF(AND(OR(F85=30,F85=31),H92&lt;&gt;"",H95&lt;&gt;""),H92-H95,IF(AND(OR(F85=30,F85=31),H93&lt;&gt;"",H95&lt;&gt;""),H93-H95,IF(AND(OR(F85=30,F85=31),F86="oui",F89="non"),H92-H96,IF(AND(OR(F85=30,F85=31),F86="non",F89="non"),H92-H101,IF(AND(OR(F85=30,F85=31),F86="oui",F89="oui"),H93-H96,IF(AND(OR(F85=30,F85=31),F86="non",F89="oui"),H93-H101,""))))))</f>
        <v>0</v>
      </c>
      <c r="I106"/>
      <c r="J106" s="63" t="s">
        <v>45</v>
      </c>
      <c r="K106" s="64">
        <v>1</v>
      </c>
      <c r="L106" s="65" t="str">
        <f t="shared" si="19"/>
        <v/>
      </c>
      <c r="M106" s="65" t="str">
        <f>IF(N106="","",N106*L88)</f>
        <v/>
      </c>
      <c r="N106" s="66" t="str">
        <f>IF(AND(OR(L85=30,L85=31),L87="oui",L89="non"),N92-N95,IF(AND(OR(L85=30,L85=31),L86="oui",L89="oui"),N92-N96,IF(AND(OR(L85=30,L85=31),L86="non",L89="oui"),N92-N102,IF(AND(OR(L85=30,L85=31),L86="oui",L89="non"),N92-N96,IF(AND(OR(L85=30,L85=31),L86="non",L89="non"),N92-N101,"")))))</f>
        <v/>
      </c>
    </row>
    <row r="107" spans="3:14">
      <c r="C107" s="67" t="s">
        <v>46</v>
      </c>
      <c r="D107" s="60">
        <v>1</v>
      </c>
      <c r="E107" s="102" t="str">
        <f t="shared" si="16"/>
        <v/>
      </c>
      <c r="F107" s="76" t="str">
        <f t="shared" si="17"/>
        <v/>
      </c>
      <c r="G107" s="75" t="str">
        <f t="shared" ref="G107:G114" si="22">IF(H107="","",H107*$F$14)</f>
        <v/>
      </c>
      <c r="H107" s="82" t="str">
        <f>IF(AND(OR(F85=32,F85=33),H92&lt;&gt;"",H95&lt;&gt;""),H92-H95,IF(AND(OR(F85=32,F85=33),H93&lt;&gt;"",H95&lt;&gt;""),H93-H95,IF(AND(OR(F85=32,F85=33),F86="oui",F89="non"),H92-H96,IF(AND(OR(F85=32,F85=33),F86="non",F89="non"),H92-H102,IF(AND(OR(F85=32,F85=33),F86="oui",F89="oui"),H93-H96,IF(AND(OR(F85=32,F85=33),F86="non",F89="oui"),H93-H102,""))))))</f>
        <v/>
      </c>
      <c r="I107"/>
      <c r="J107" s="67" t="s">
        <v>46</v>
      </c>
      <c r="K107" s="60">
        <v>1</v>
      </c>
      <c r="L107" s="61" t="str">
        <f t="shared" si="19"/>
        <v/>
      </c>
      <c r="M107" s="61" t="str">
        <f>IF(N107="","",N107*L88)</f>
        <v/>
      </c>
      <c r="N107" s="68" t="str">
        <f>IF(AND(OR(L85=32,L85=33),L87="oui",L89="non"),N92-N95,IF(AND(L85=32,L86="oui",L89="oui"),N92-N96,IF(AND(L85=33,L86="oui",L89="oui"),N92-N97,IF(AND(OR(L85=32,L85=33),L86="non",L89="oui"),N92-N102,IF(AND(OR(L85=32,L85=33),L86="oui",L89="non"),N92-N96,IF(AND(OR(L85=32,L85=33),L86="non",L89="non"),N92-N102,""))))))</f>
        <v/>
      </c>
    </row>
    <row r="108" spans="3:14">
      <c r="C108" s="67" t="s">
        <v>47</v>
      </c>
      <c r="D108" s="60">
        <v>1</v>
      </c>
      <c r="E108" s="102" t="str">
        <f t="shared" si="16"/>
        <v/>
      </c>
      <c r="F108" s="76" t="str">
        <f>IF(H108="","",ROUNDUP(H108+G108,0))</f>
        <v/>
      </c>
      <c r="G108" s="75" t="str">
        <f t="shared" si="22"/>
        <v/>
      </c>
      <c r="H108" s="82" t="str">
        <f>IF(AND(OR(F85=34,F85=35),H92&lt;&gt;"",H95&lt;&gt;""),H92-H95,IF(AND(OR(F85=34,F85=35),H93&lt;&gt;"",H95&lt;&gt;""),H93-H95,IF(AND(F85=34,F86="oui",F89="non"),H92-H96,IF(AND(F85=35,F86="oui",F89="non"),H92-H97,IF(AND(OR(F85=34,F85=35),F86="non",F89="non"),H92-H102,IF(AND(F85=34,F86="oui",F89="oui"),H93-H96,IF(AND(F85=35,F86="oui",F89="oui"),H93-H97,IF(AND(OR(F85=34,F85=35),F86="non",F89="oui"),H93-H102,""))))))))</f>
        <v/>
      </c>
      <c r="I108"/>
      <c r="J108" s="67" t="s">
        <v>47</v>
      </c>
      <c r="K108" s="60">
        <v>1</v>
      </c>
      <c r="L108" s="61" t="str">
        <f t="shared" si="19"/>
        <v/>
      </c>
      <c r="M108" s="61" t="str">
        <f>IF(N108="","",N108*L88)</f>
        <v/>
      </c>
      <c r="N108" s="68" t="str">
        <f>IF(AND(OR(L85=34,L85=35),L87="oui",L89="non"),N92-N95,IF(AND(OR(L85=34,L85=35),L86="oui",L89="oui"),N92-N97,IF(AND(L85=34,L86="non",L89="oui"),N92-N102,IF(AND(L85=35,L86="non",L89="oui"),N92-N103,IF(AND(L85=34,L86="oui",L89="non"),N92-N96,IF(AND(L85=35,L86="oui",L89="non"),N92-N97,IF(AND(OR(L85=34,L85=35),L86="non",L89="non"),N92-N102,"")))))))</f>
        <v/>
      </c>
    </row>
    <row r="109" spans="3:14">
      <c r="C109" s="67" t="s">
        <v>48</v>
      </c>
      <c r="D109" s="60">
        <v>1</v>
      </c>
      <c r="E109" s="102" t="str">
        <f t="shared" si="16"/>
        <v/>
      </c>
      <c r="F109" s="76" t="str">
        <f t="shared" ref="F109:F114" si="23">IF(H109="","",ROUNDUP(H109+G109,0))</f>
        <v/>
      </c>
      <c r="G109" s="75" t="str">
        <f t="shared" si="22"/>
        <v/>
      </c>
      <c r="H109" s="82" t="str">
        <f>IF(AND(OR(F85=36,F85=37),H92&lt;&gt;"",H95&lt;&gt;""),H92-H95,IF(AND(OR(F85=36,F85=37),H93&lt;&gt;"",H95&lt;&gt;""),H93-H95,IF(AND(F85=36,F86="oui",F89="non"),H92-H97,IF(AND(F85=36,F86="non",F89="non"),H92-H102,IF(AND(F85=37,F86="oui",F89="non"),H92-H97,IF(AND(F85=37,F86="non",F89="non"),H92-H103,IF(AND(F85=36,F86="oui",F89="oui"),H93-H97,IF(AND(F85=36,F86="non",F89="oui"),H93-H102,IF(AND(F85=37,F86="oui",F89="oui"),H93-H97,IF(AND(F85=37,F86="non",F89="oui"),H93-H103,""))))))))))</f>
        <v/>
      </c>
      <c r="I109"/>
      <c r="J109" s="67" t="s">
        <v>48</v>
      </c>
      <c r="K109" s="60">
        <v>1</v>
      </c>
      <c r="L109" s="61" t="str">
        <f t="shared" si="19"/>
        <v/>
      </c>
      <c r="M109" s="61" t="str">
        <f>IF(N109="","",N109*L88)</f>
        <v/>
      </c>
      <c r="N109" s="68" t="str">
        <f>IF(AND(OR(L85=36,L85=37),L87="oui",L89="non"),N92-N95,IF(AND(OR(L85=36,L85=37),L86="oui",L89="oui"),N92-N97,IF(AND(OR(L85=36,L85=37),L86="non",L89="oui"),N92-N103,IF(AND(OR(L85=36,L85=37),L86="oui",L89="non"),N92-N97,IF(AND(L85=36,L86="non",L89="non"),N92-N102,IF(AND(L85=37,L86="non",L89="non"),N92-N103,""))))))</f>
        <v/>
      </c>
    </row>
    <row r="110" spans="3:14">
      <c r="C110" s="67" t="s">
        <v>49</v>
      </c>
      <c r="D110" s="60">
        <v>1</v>
      </c>
      <c r="E110" s="102" t="str">
        <f t="shared" si="16"/>
        <v/>
      </c>
      <c r="F110" s="76" t="str">
        <f t="shared" si="23"/>
        <v/>
      </c>
      <c r="G110" s="75" t="str">
        <f t="shared" si="22"/>
        <v/>
      </c>
      <c r="H110" s="82" t="str">
        <f>IF(AND(OR(F85=38,F85=39),H92&lt;&gt;"",H95&lt;&gt;""),H92-H95,IF(AND(OR(F85=36,F85=37),H93&lt;&gt;"",H95&lt;&gt;""),H93-H95,IF(AND(OR(F85=38,F85=39),F86="oui",F89="non"),H92-H97,IF(AND(OR(F85=38,F85=39),F86="non",F89="non"),H92-H103,IF(AND(OR(F85=38,F85=39),F86="oui",F89="oui"),H93-H97,IF(AND(OR(F85=38,F85=39),F86="non",F89="oui"),H93-H103,""))))))</f>
        <v/>
      </c>
      <c r="I110"/>
      <c r="J110" s="67" t="s">
        <v>49</v>
      </c>
      <c r="K110" s="60">
        <v>1</v>
      </c>
      <c r="L110" s="61" t="str">
        <f t="shared" si="19"/>
        <v/>
      </c>
      <c r="M110" s="61" t="str">
        <f>IF(N110="","",N110*L88)</f>
        <v/>
      </c>
      <c r="N110" s="68" t="str">
        <f>IF(AND(OR(L85=38,L85=39),L87="oui",L89="non"),N92-N95,IF(AND(OR(L85=38,L85=39),L86="oui",L89="oui"),N92-N98,IF(AND(OR(L85=38,L85=39),L86="non",L89="oui"),N92-N103,IF(AND(OR(L85=38,L85=39),L86="oui",L89="non"),N92-N97,IF(AND(OR(L85=38,L85=39),L86="non",L89="non"),N92-N103,"")))))</f>
        <v/>
      </c>
    </row>
    <row r="111" spans="3:14">
      <c r="C111" s="67" t="s">
        <v>50</v>
      </c>
      <c r="D111" s="60">
        <v>1</v>
      </c>
      <c r="E111" s="102" t="str">
        <f t="shared" si="16"/>
        <v/>
      </c>
      <c r="F111" s="76" t="str">
        <f t="shared" si="23"/>
        <v/>
      </c>
      <c r="G111" s="75" t="str">
        <f t="shared" si="22"/>
        <v/>
      </c>
      <c r="H111" s="82" t="str">
        <f>IF(AND(OR(F85=40,F85=41),H92&lt;&gt;"",H95&lt;&gt;""),H92-H95,IF(AND(OR(F85=40,F85=41),H93&lt;&gt;"",H95&lt;&gt;""),H93-H95,IF(AND(OR(F85=40,F85=41),F86="oui",F89="non"),H92-H98,IF(AND(OR(F85=40,F85=41),F86="non",F89="non"),H92-H103,IF(AND(OR(F85=40,F85=41),F86="oui",F89="oui"),H93-H98,IF(AND(OR(F85=40,F85=41),F86="non",F89="oui"),H93-H103,""))))))</f>
        <v/>
      </c>
      <c r="I111"/>
      <c r="J111" s="67" t="s">
        <v>50</v>
      </c>
      <c r="K111" s="60">
        <v>1</v>
      </c>
      <c r="L111" s="61" t="str">
        <f t="shared" si="19"/>
        <v/>
      </c>
      <c r="M111" s="61" t="str">
        <f>IF(N111="","",N111*L88)</f>
        <v/>
      </c>
      <c r="N111" s="68" t="str">
        <f>IF(AND(OR(L85=40,L85=41),L87="oui",L89="non"),N92-N95,IF(AND(OR(L85=40,L85=41),L86="oui",L89="oui"),N92-N98,IF(AND(OR(L85=40,L85=41),L86="non",L89="oui"),N92-N104,IF(AND(OR(L85=40,L85=41),L86="oui",L89="non"),N92-N98,IF(AND(OR(L85=40,L85=41),L86="non",L89="non"),N92-N103,"")))))</f>
        <v/>
      </c>
    </row>
    <row r="112" spans="3:14">
      <c r="C112" s="67" t="s">
        <v>51</v>
      </c>
      <c r="D112" s="60">
        <v>1</v>
      </c>
      <c r="E112" s="102" t="str">
        <f t="shared" si="16"/>
        <v/>
      </c>
      <c r="F112" s="76" t="str">
        <f t="shared" si="23"/>
        <v/>
      </c>
      <c r="G112" s="75" t="str">
        <f t="shared" si="22"/>
        <v/>
      </c>
      <c r="H112" s="82" t="str">
        <f>IF(AND(OR(F85=42,F85=43,F85=44),H92&lt;&gt;"",H95&lt;&gt;""),H92-H95,IF(AND(OR(F85=42,F85=43,F85=44),H93&lt;&gt;"",H95&lt;&gt;""),H93-H95,IF(AND(AND(F85&gt;=42,F85&lt;=44),F86="oui",F89="non"),H92-H98,IF(AND(AND(F85&gt;=42,F85&lt;=44),F86="non",F89="non"),H92-H104,IF(AND(AND(F85&gt;=42,F85&lt;=44),F86="oui",F89="oui"),H93-H98,IF(AND(AND(F85&gt;=42,F85&lt;=44),F86="non",F89="oui"),H93-H104,""))))))</f>
        <v/>
      </c>
      <c r="I112"/>
      <c r="J112" s="67" t="s">
        <v>51</v>
      </c>
      <c r="K112" s="60">
        <v>1</v>
      </c>
      <c r="L112" s="61" t="str">
        <f t="shared" si="19"/>
        <v/>
      </c>
      <c r="M112" s="61" t="str">
        <f>IF(N112="","",N112*L88)</f>
        <v/>
      </c>
      <c r="N112" s="68" t="str">
        <f>IF(AND(OR(L85=42,L85=43,L85=44),L87="oui",L89="non"),N92-N95,IF(AND(L85=42,L86="oui",L89="oui"),N92-N98,IF(AND(OR(L85=42,L85=43),L86="oui",L89="oui"),N92-N99,IF(AND(OR(L85=42,L85=43,L85=44),L86="non",L89="oui"),N92-N104,IF(AND(OR(L85=42,L85=43,L85=44),L86="oui",L89="non"),N92-N98,IF(AND(OR(L85=42,L85=43,L85=44),L86="non",L89="non"),N92-N104,""))))))</f>
        <v/>
      </c>
    </row>
    <row r="113" spans="3:14">
      <c r="C113" s="67" t="s">
        <v>52</v>
      </c>
      <c r="D113" s="60">
        <v>1</v>
      </c>
      <c r="E113" s="105" t="str">
        <f t="shared" si="16"/>
        <v/>
      </c>
      <c r="F113" s="83" t="str">
        <f t="shared" si="23"/>
        <v/>
      </c>
      <c r="G113" s="75" t="str">
        <f t="shared" si="22"/>
        <v/>
      </c>
      <c r="H113" s="82" t="str">
        <f>IF(AND(OR(F85=45,F85=46,F85=47,F85=48,F85=49),H92&lt;&gt;"",H95&lt;&gt;""),H92-H95,IF(AND(OR(F85=45,F85=46,F85=47,F85=48,F85=49),H93&lt;&gt;"",H95&lt;&gt;""),H93-H95,IF(AND(OR(F85=45,F85=46),F86="oui",F89="non"),H92-H99,IF(AND(OR(F85=45,F85=46),F86="non",F89="non"),H92-H104,IF(AND(AND(F85&gt;=47,F85&lt;=49),F86="oui",F89="non"),H92-H99,IF(AND(AND(F85&gt;=47,F85&lt;=49),F86="non",F89="non"),H92-H105,IF(AND(OR(F85=45,F85=46),F86="oui",F89="oui"),H93-H99,IF(AND(OR(F85=45,F85=46),F86="non",F89="oui"),H93-H104,IF(AND(AND(F85&gt;=47,F85&lt;=49),F86="oui",F89="oui"),H93-H99,IF(AND(AND(F85&gt;=47,F85&lt;=49),F86="non",F89="oui"),H93-H105,""))))))))))</f>
        <v/>
      </c>
      <c r="I113"/>
      <c r="J113" s="67" t="s">
        <v>52</v>
      </c>
      <c r="K113" s="60">
        <v>1</v>
      </c>
      <c r="L113" s="61" t="str">
        <f t="shared" si="19"/>
        <v/>
      </c>
      <c r="M113" s="61" t="str">
        <f>IF(N113="","",N113*L88)</f>
        <v/>
      </c>
      <c r="N113" s="68" t="str">
        <f>IF(AND(AND(L85&gt;=45,L85&lt;=49),L87="oui",L89="non"),N92-N95,IF(AND(OR(L85=45,L85=46,L85=47),L86="oui",L89="oui"),N92-N99,IF(AND(OR(L85=48,L85=49),L86="oui",L89="oui"),N92-N100,IF(AND(AND(L85&gt;=45,L85&lt;=49),L86="non",L89="oui"),N92-N105,IF(AND(AND(L85&gt;=45,L85&lt;=49),L86="oui",L89="non"),N92-N99,IF(AND(OR(L85=45,L85=46),L86="non",L89="non"),N92-N104,IF(AND(AND(L85&gt;=47,L85&lt;=49),L86="non",L89="non"),N92-N105,"")))))))</f>
        <v/>
      </c>
    </row>
    <row r="114" spans="3:14" ht="15" thickBot="1">
      <c r="C114" s="69" t="s">
        <v>53</v>
      </c>
      <c r="D114" s="70">
        <v>1</v>
      </c>
      <c r="E114" s="104" t="str">
        <f t="shared" si="16"/>
        <v/>
      </c>
      <c r="F114" s="86" t="str">
        <f t="shared" si="23"/>
        <v/>
      </c>
      <c r="G114" s="84" t="str">
        <f t="shared" si="22"/>
        <v/>
      </c>
      <c r="H114" s="85" t="str">
        <f>IF(AND(F85=50,H92&lt;&gt;"",H95&lt;&gt;""),H92-H95,IF(AND(F85=50,H93&lt;&gt;"",H95&lt;&gt;""),H93-H95,IF(AND(F85=50,F86="oui",F89="non"),H92-H100,IF(AND(F85=50,F86="non",F89="non"),H92-H105,IF(AND(F85=50,F86="oui",F89="oui"),H93-H100,IF(AND(F85=50,F86="non",F89="oui"),H93-H105,""))))))</f>
        <v/>
      </c>
      <c r="I114"/>
      <c r="J114" s="69" t="s">
        <v>53</v>
      </c>
      <c r="K114" s="70">
        <v>1</v>
      </c>
      <c r="L114" s="71" t="str">
        <f t="shared" si="19"/>
        <v/>
      </c>
      <c r="M114" s="71" t="str">
        <f>IF(N114="","",N114*L88)</f>
        <v/>
      </c>
      <c r="N114" s="236" t="str">
        <f>IF(AND(L85=50,L87="oui",L89="non"),N92-N95,IF(AND(L85=50,L86="oui",L89="oui"),N92-N100,IF(AND(L85=50,L86="non",L89="oui"),N92-N105,IF(AND(L85=50,L86="oui",L89="non"),N92-N100,IF(AND(L85=50,L86="non",L89="non"),N92-N105,"")))))</f>
        <v/>
      </c>
    </row>
    <row r="115" spans="3:14" ht="15" thickBot="1">
      <c r="C115" s="205" t="s">
        <v>105</v>
      </c>
      <c r="D115" s="206">
        <v>1</v>
      </c>
      <c r="E115" s="207">
        <f t="shared" si="16"/>
        <v>0</v>
      </c>
      <c r="F115" s="197">
        <f>IF(H115="","",ROUNDUP(H115+G115,0))</f>
        <v>0</v>
      </c>
      <c r="G115" s="197">
        <f>IF(H115="","",H115*$F$14)</f>
        <v>0</v>
      </c>
      <c r="H115" s="197">
        <f>IF(F84="","",(IF(OR(F85=30,F85=31),F106/2, IF(OR(F85=32,F85=33),F107/2,IF(OR(F85=34,F85=35),F108/2,IF(OR(F85=36,F85=37),F109/2,IF(OR(F85=38,F85=39),F110/2,IF(OR(F85=40,F85=41),F111/2,IF(OR(F85=42,F85=43,F85=44),F112/2,IF(OR(F85=45,F85=46,F85=47,F85=48,F85=49),F113/2,IF(F85=50,F114/2)))))))))))</f>
        <v>0</v>
      </c>
      <c r="I115"/>
      <c r="J115" s="205" t="s">
        <v>105</v>
      </c>
      <c r="K115" s="206">
        <v>1</v>
      </c>
      <c r="L115" s="197">
        <f>IF(N115="","",ROUNDUP(N115+M115,0))</f>
        <v>0</v>
      </c>
      <c r="M115" s="197">
        <f>IF(N115="","",N115*$F$14)</f>
        <v>0</v>
      </c>
      <c r="N115" s="197" t="b">
        <f>IF(L84="","",(IF(L89="oui",L82,(IF(OR(L85=30,L85=31),L106/2,IF(OR(L85=32,L85=33),L107/2,IF(OR(L85=34,L85=35),L108/2,IF(OR(L85=36,L85=37),L109/2,IF(OR(L85=38,L85=39),L110/2,IF(OR(L85=40,L85=41),L111/2,IF(OR(L85=42,L85=43,L85=44),L112/2,IF(OR(L85=45,L85=46,L85=47,L85=48,L85=49),L113/2,IF(L85=50,L114/2)))))))))))))</f>
        <v>0</v>
      </c>
    </row>
    <row r="116" spans="3:14" ht="15" thickBot="1">
      <c r="C116" s="216"/>
      <c r="D116" s="217"/>
      <c r="E116" s="218"/>
      <c r="F116" s="219"/>
      <c r="G116" s="220"/>
      <c r="H116" s="221"/>
    </row>
    <row r="117" spans="3:14" ht="15" thickBot="1">
      <c r="C117" s="337" t="s">
        <v>194</v>
      </c>
      <c r="D117" s="338"/>
      <c r="E117" s="338"/>
      <c r="F117" s="339"/>
      <c r="J117" s="337" t="s">
        <v>195</v>
      </c>
      <c r="K117" s="338"/>
      <c r="L117" s="339"/>
    </row>
    <row r="118" spans="3:14">
      <c r="C118" s="340" t="s">
        <v>15</v>
      </c>
      <c r="D118" s="340"/>
      <c r="E118" s="175"/>
      <c r="F118" s="101" t="s">
        <v>25</v>
      </c>
      <c r="G118" s="176"/>
      <c r="H118" s="40"/>
      <c r="J118" s="341" t="s">
        <v>128</v>
      </c>
      <c r="K118" s="341"/>
      <c r="L118" s="177" t="s">
        <v>25</v>
      </c>
      <c r="M118" s="178"/>
      <c r="N118" s="178"/>
    </row>
    <row r="119" spans="3:14">
      <c r="C119" s="336" t="s">
        <v>26</v>
      </c>
      <c r="D119" s="336"/>
      <c r="E119" s="179"/>
      <c r="F119" s="14">
        <v>0</v>
      </c>
      <c r="G119" s="19"/>
      <c r="H119" s="180"/>
      <c r="J119" s="336" t="s">
        <v>26</v>
      </c>
      <c r="K119" s="336"/>
      <c r="L119" s="42"/>
      <c r="M119" s="181"/>
      <c r="N119" s="182"/>
    </row>
    <row r="120" spans="3:14" ht="14.25" customHeight="1">
      <c r="C120" s="336" t="s">
        <v>27</v>
      </c>
      <c r="D120" s="336"/>
      <c r="E120" s="179"/>
      <c r="F120" s="14">
        <v>0</v>
      </c>
      <c r="G120" s="19"/>
      <c r="H120" s="180"/>
      <c r="J120" s="336" t="s">
        <v>27</v>
      </c>
      <c r="K120" s="336"/>
      <c r="L120" s="42"/>
      <c r="M120" s="181"/>
      <c r="N120" s="182"/>
    </row>
    <row r="121" spans="3:14">
      <c r="C121" s="336" t="s">
        <v>28</v>
      </c>
      <c r="D121" s="336"/>
      <c r="E121" s="179"/>
      <c r="F121" s="14">
        <v>0</v>
      </c>
      <c r="G121" s="19"/>
      <c r="H121" s="180"/>
      <c r="J121" s="336" t="s">
        <v>28</v>
      </c>
      <c r="K121" s="336"/>
      <c r="L121" s="42"/>
      <c r="M121" s="181"/>
      <c r="N121" s="182"/>
    </row>
    <row r="122" spans="3:14">
      <c r="C122" s="336" t="s">
        <v>29</v>
      </c>
      <c r="D122" s="336"/>
      <c r="E122" s="179"/>
      <c r="F122" s="14">
        <v>30</v>
      </c>
      <c r="G122" s="19"/>
      <c r="H122" s="180"/>
      <c r="J122" s="336" t="s">
        <v>136</v>
      </c>
      <c r="K122" s="336"/>
      <c r="L122" s="14"/>
      <c r="M122" s="181"/>
      <c r="N122" s="182"/>
    </row>
    <row r="123" spans="3:14">
      <c r="C123" s="336" t="s">
        <v>270</v>
      </c>
      <c r="D123" s="336"/>
      <c r="E123" s="179"/>
      <c r="F123" s="14" t="s">
        <v>33</v>
      </c>
      <c r="G123" s="19"/>
      <c r="H123" s="180"/>
      <c r="J123" s="336" t="s">
        <v>270</v>
      </c>
      <c r="K123" s="336"/>
      <c r="L123" s="14"/>
      <c r="M123" s="181"/>
      <c r="N123" s="182"/>
    </row>
    <row r="124" spans="3:14">
      <c r="C124" s="336" t="s">
        <v>272</v>
      </c>
      <c r="D124" s="336"/>
      <c r="E124" s="179"/>
      <c r="F124" s="14" t="s">
        <v>33</v>
      </c>
      <c r="G124" s="19"/>
      <c r="H124" s="180"/>
      <c r="J124" s="331" t="s">
        <v>269</v>
      </c>
      <c r="K124" s="332"/>
      <c r="L124" s="14"/>
      <c r="M124" s="181"/>
      <c r="N124" s="182"/>
    </row>
    <row r="125" spans="3:14">
      <c r="C125" s="336" t="s">
        <v>146</v>
      </c>
      <c r="D125" s="336"/>
      <c r="E125" s="179"/>
      <c r="F125" s="15">
        <v>0</v>
      </c>
      <c r="G125" s="16"/>
      <c r="H125"/>
      <c r="J125" s="336" t="s">
        <v>135</v>
      </c>
      <c r="K125" s="336"/>
      <c r="L125" s="15"/>
      <c r="M125" s="183"/>
      <c r="N125" s="184"/>
    </row>
    <row r="126" spans="3:14">
      <c r="C126" s="334" t="s">
        <v>250</v>
      </c>
      <c r="D126" s="334"/>
      <c r="E126" s="179"/>
      <c r="F126" s="239" t="s">
        <v>65</v>
      </c>
      <c r="G126" s="185"/>
      <c r="H126"/>
      <c r="J126" s="334" t="s">
        <v>252</v>
      </c>
      <c r="K126" s="334"/>
      <c r="L126" s="239"/>
      <c r="M126" s="181"/>
      <c r="N126" s="182"/>
    </row>
    <row r="127" spans="3:14" ht="15" thickBot="1">
      <c r="C127"/>
      <c r="D127"/>
      <c r="E127"/>
      <c r="H127"/>
      <c r="J127" s="335"/>
      <c r="K127" s="335"/>
      <c r="L127" s="41"/>
      <c r="M127" s="41"/>
      <c r="N127" s="186"/>
    </row>
    <row r="128" spans="3:14">
      <c r="C128" s="187" t="s">
        <v>34</v>
      </c>
      <c r="D128" s="188" t="s">
        <v>35</v>
      </c>
      <c r="E128" s="188"/>
      <c r="F128" s="188" t="s">
        <v>25</v>
      </c>
      <c r="G128" s="80" t="str">
        <f>IF(H128="","",H128*F125)</f>
        <v/>
      </c>
      <c r="H128" s="81"/>
      <c r="I128"/>
      <c r="J128" s="189" t="s">
        <v>34</v>
      </c>
      <c r="K128" s="189" t="s">
        <v>35</v>
      </c>
      <c r="L128" s="177" t="s">
        <v>25</v>
      </c>
      <c r="M128" s="178"/>
      <c r="N128" s="178"/>
    </row>
    <row r="129" spans="3:14">
      <c r="C129" s="67" t="s">
        <v>38</v>
      </c>
      <c r="D129" s="60">
        <v>1</v>
      </c>
      <c r="E129" s="102">
        <f>F129</f>
        <v>0</v>
      </c>
      <c r="F129" s="74">
        <f>IF(H129="","",ROUNDUP(G129+H129,0))</f>
        <v>0</v>
      </c>
      <c r="G129" s="75">
        <f>IF(H129="","",H129*F125)</f>
        <v>0</v>
      </c>
      <c r="H129" s="82">
        <f>IF(OR(F126="oui",F126=""),"",IF((F126="non"),IF(OR(F119="",F121=""),"",(F119+F121)*2)))</f>
        <v>0</v>
      </c>
      <c r="I129"/>
      <c r="J129" s="59" t="s">
        <v>134</v>
      </c>
      <c r="K129" s="60">
        <v>1</v>
      </c>
      <c r="L129" s="61" t="str">
        <f>IF(N129="","",ROUNDUP(N129+M129+1,0))</f>
        <v/>
      </c>
      <c r="M129" s="61" t="str">
        <f>IF(N129="","",N129*L125)</f>
        <v/>
      </c>
      <c r="N129" s="62" t="str">
        <f>IF(OR(L119="",L120=""),"",IF(L126="non",((L119*2)+(L120*2)),IF(L126="oui",((L119*2)+(L121*2)))))</f>
        <v/>
      </c>
    </row>
    <row r="130" spans="3:14">
      <c r="C130" s="67" t="s">
        <v>249</v>
      </c>
      <c r="D130" s="60">
        <v>1</v>
      </c>
      <c r="E130" s="102" t="str">
        <f>F130</f>
        <v/>
      </c>
      <c r="F130" s="74" t="str">
        <f>IF(H130="","",ROUNDUP(G130+H130,0))</f>
        <v/>
      </c>
      <c r="G130" s="75" t="str">
        <f>IF(H130="","",H130*F125)</f>
        <v/>
      </c>
      <c r="H130" s="82" t="str">
        <f>IF(OR(F126="non",F126=""),"",IF((F126="oui"),IF(OR(F119="",F121=""),"",(F119+F121)*2)))</f>
        <v/>
      </c>
      <c r="I130"/>
      <c r="J130" s="59" t="s">
        <v>253</v>
      </c>
      <c r="K130" s="60">
        <v>1</v>
      </c>
      <c r="L130" s="61" t="str">
        <f>IF(N130="","",ROUNDUP(N130+M130+1,0))</f>
        <v/>
      </c>
      <c r="M130" s="61" t="str">
        <f>IF(N130="","",N130*L125)</f>
        <v/>
      </c>
      <c r="N130" s="62" t="str">
        <f>IF(L126="oui",N129,"")</f>
        <v/>
      </c>
    </row>
    <row r="131" spans="3:14" ht="15" thickBot="1">
      <c r="C131" s="69" t="s">
        <v>39</v>
      </c>
      <c r="D131" s="70">
        <v>100</v>
      </c>
      <c r="E131" s="104">
        <f>F131</f>
        <v>0</v>
      </c>
      <c r="F131" s="190">
        <f>IF(H131="","",ROUNDUP(G131+H131,0))</f>
        <v>0</v>
      </c>
      <c r="G131" s="191">
        <f>IF(H131="","",H131*F125)</f>
        <v>0</v>
      </c>
      <c r="H131" s="85">
        <f>IF(AND(H129="",H130=""),"",IF(H129&lt;&gt;"",(H129*3)/100,IF(H130&lt;&gt;"",(H130*3)/100)))</f>
        <v>0</v>
      </c>
      <c r="I131"/>
      <c r="J131" s="77" t="s">
        <v>39</v>
      </c>
      <c r="K131" s="78">
        <v>100</v>
      </c>
      <c r="L131" s="192" t="str">
        <f>IF(N131="","",ROUNDUP(N131+M131,0))</f>
        <v/>
      </c>
      <c r="M131" s="192" t="str">
        <f>IF(N131="","",N131*L125)</f>
        <v/>
      </c>
      <c r="N131" s="193" t="str">
        <f>IF(N129="","",(L129*4)/100)</f>
        <v/>
      </c>
    </row>
    <row r="132" spans="3:14" ht="15" thickBot="1">
      <c r="C132" s="312" t="s">
        <v>262</v>
      </c>
      <c r="D132" s="64">
        <v>1</v>
      </c>
      <c r="E132" s="194">
        <f t="shared" ref="E132:E152" si="24">F132</f>
        <v>0</v>
      </c>
      <c r="F132" s="195">
        <f t="shared" ref="F132:F144" si="25">IF(H132="","",ROUNDUP(H132+G132,0))</f>
        <v>0</v>
      </c>
      <c r="G132" s="196">
        <f t="shared" ref="G132" si="26">IF(H132="","",H132*$F$14)</f>
        <v>0</v>
      </c>
      <c r="H132" s="197">
        <f>IF(AND(F123="oui",F124="oui",F126="non"),H129-(F121*4),IF(AND(F123="oui",F124="oui",F126="oui"),H130-(F121*4),""))</f>
        <v>0</v>
      </c>
      <c r="I132"/>
      <c r="J132" s="312" t="s">
        <v>262</v>
      </c>
      <c r="K132" s="198">
        <v>1</v>
      </c>
      <c r="L132" s="199" t="str">
        <f t="shared" ref="L132:L151" si="27">IF(N132="","",ROUNDUP(N132+M132,0))</f>
        <v/>
      </c>
      <c r="M132" s="199" t="str">
        <f>IF(N132="","",N132*L125)</f>
        <v/>
      </c>
      <c r="N132" s="200" t="str">
        <f>IF(AND(L123="oui",L124="oui",L126="non"),((L119-L120)*2),"")</f>
        <v/>
      </c>
    </row>
    <row r="133" spans="3:14">
      <c r="C133" s="313" t="s">
        <v>263</v>
      </c>
      <c r="D133" s="64">
        <v>1</v>
      </c>
      <c r="E133" s="103" t="str">
        <f t="shared" si="24"/>
        <v/>
      </c>
      <c r="F133" s="87" t="str">
        <f t="shared" si="25"/>
        <v/>
      </c>
      <c r="G133" s="201" t="str">
        <f>IF(H133="","",H133*$F$14)</f>
        <v/>
      </c>
      <c r="H133" s="173" t="str">
        <f>IF(F124="oui","",IF(AND(AND(F122&gt;=30,F122&lt;=34),F123="oui",F124="non",F126="non"),H129-(F121*4),IF(AND(AND(F122&gt;=30,F122&lt;=34),F123="oui",F124="non",F126="oui"),H130-(F121*4),"")))</f>
        <v/>
      </c>
      <c r="I133"/>
      <c r="J133" s="313" t="s">
        <v>263</v>
      </c>
      <c r="K133" s="89">
        <v>1</v>
      </c>
      <c r="L133" s="73" t="str">
        <f t="shared" si="27"/>
        <v/>
      </c>
      <c r="M133" s="73" t="str">
        <f>IF(N133="","",N133*L125)</f>
        <v/>
      </c>
      <c r="N133" s="202" t="str">
        <f>IF(L124="oui","",IF(AND(L122&gt;=30,L122&lt;=34,L123="oui",L126="non"),((L119-L120)*2),IF(AND(AND(L122&gt;=30,L122&lt;=32),L123="oui",L126="oui"),((L119-L121)*2),"")))</f>
        <v/>
      </c>
    </row>
    <row r="134" spans="3:14">
      <c r="C134" s="67" t="s">
        <v>264</v>
      </c>
      <c r="D134" s="60">
        <v>1</v>
      </c>
      <c r="E134" s="102" t="str">
        <f t="shared" si="24"/>
        <v/>
      </c>
      <c r="F134" s="76" t="str">
        <f t="shared" si="25"/>
        <v/>
      </c>
      <c r="G134" s="201" t="str">
        <f t="shared" ref="G134:G137" si="28">IF(H134="","",H134*$F$14)</f>
        <v/>
      </c>
      <c r="H134" s="82" t="str">
        <f>IF(F124="oui","",IF(AND(AND(F122&gt;=35,F122&lt;=39),F123="oui",F126="non"),H129-(F121*4),IF(AND(AND(F122&gt;=35,F122&lt;=39),F123="oui",F126="oui"),H130-(F121*4),"")))</f>
        <v/>
      </c>
      <c r="I134"/>
      <c r="J134" s="67" t="s">
        <v>264</v>
      </c>
      <c r="K134" s="60">
        <v>1</v>
      </c>
      <c r="L134" s="61" t="str">
        <f t="shared" si="27"/>
        <v/>
      </c>
      <c r="M134" s="61" t="str">
        <f>IF(N134="","",N134*L125)</f>
        <v/>
      </c>
      <c r="N134" s="68" t="str">
        <f>IF(L124="oui","",IF(AND(L122&gt;=35,L122&lt;=39,L123="oui",L126="non"),((L119-L120)*2),IF(AND(AND(L122&gt;=33,L122&lt;=37),L123="oui",L126="oui"),((L119-L121)*2),"")))</f>
        <v/>
      </c>
    </row>
    <row r="135" spans="3:14">
      <c r="C135" s="67" t="s">
        <v>265</v>
      </c>
      <c r="D135" s="60">
        <v>1</v>
      </c>
      <c r="E135" s="102" t="str">
        <f t="shared" si="24"/>
        <v/>
      </c>
      <c r="F135" s="76" t="str">
        <f t="shared" si="25"/>
        <v/>
      </c>
      <c r="G135" s="201" t="str">
        <f t="shared" si="28"/>
        <v/>
      </c>
      <c r="H135" s="82" t="str">
        <f>IF(F124="oui","",IF(AND(AND(F122&gt;=40,F122&lt;=44),F123="oui",F126="non"),H129-(F121*4),IF(AND(AND(F122&gt;=40,F122&lt;=44),F123="oui",F126="oui"),H130-(F121*4),"")))</f>
        <v/>
      </c>
      <c r="I135"/>
      <c r="J135" s="67" t="s">
        <v>265</v>
      </c>
      <c r="K135" s="60">
        <v>1</v>
      </c>
      <c r="L135" s="61" t="str">
        <f t="shared" si="27"/>
        <v/>
      </c>
      <c r="M135" s="61" t="str">
        <f>IF(N135="","",N135*L125)</f>
        <v/>
      </c>
      <c r="N135" s="68" t="str">
        <f>IF(L124="oui","",IF(AND(L122&gt;=40,L122&lt;=44,L123="oui",L126="non"),((L119-L120)*2),IF(AND(AND(L122&gt;=38,L122&lt;=42),L123="oui",L126="oui"),((L119-L121)*2),"")))</f>
        <v/>
      </c>
    </row>
    <row r="136" spans="3:14">
      <c r="C136" s="67" t="s">
        <v>266</v>
      </c>
      <c r="D136" s="60">
        <v>1</v>
      </c>
      <c r="E136" s="102" t="str">
        <f t="shared" si="24"/>
        <v/>
      </c>
      <c r="F136" s="76" t="str">
        <f t="shared" si="25"/>
        <v/>
      </c>
      <c r="G136" s="201" t="str">
        <f t="shared" si="28"/>
        <v/>
      </c>
      <c r="H136" s="82" t="str">
        <f>IF(F124="oui","",IF(AND(AND(F122&gt;=45,F122&lt;=49),F123="oui",F126="non"),H129-(F121*4),IF(AND(AND(F122&gt;=45,F122&lt;=49),F123="oui",F126="oui"),H130-(F121*4),"")))</f>
        <v/>
      </c>
      <c r="I136"/>
      <c r="J136" s="67" t="s">
        <v>266</v>
      </c>
      <c r="K136" s="60">
        <v>1</v>
      </c>
      <c r="L136" s="61" t="str">
        <f t="shared" si="27"/>
        <v/>
      </c>
      <c r="M136" s="61" t="str">
        <f>IF(N136="","",N136*L125)</f>
        <v/>
      </c>
      <c r="N136" s="68" t="str">
        <f>IF(L124="oui","",IF(AND(L122&gt;=45,L122&lt;=49,L123="oui",L126="non"),((L119-L120)*2),IF(AND(AND(L122&gt;=43,L122&lt;=47),L123="oui",L126="oui"),((L119-L121)*2),"")))</f>
        <v/>
      </c>
    </row>
    <row r="137" spans="3:14" ht="15" thickBot="1">
      <c r="C137" s="69" t="s">
        <v>267</v>
      </c>
      <c r="D137" s="70">
        <v>1</v>
      </c>
      <c r="E137" s="104" t="str">
        <f t="shared" si="24"/>
        <v/>
      </c>
      <c r="F137" s="83" t="str">
        <f t="shared" si="25"/>
        <v/>
      </c>
      <c r="G137" s="201" t="str">
        <f t="shared" si="28"/>
        <v/>
      </c>
      <c r="H137" s="85" t="str">
        <f>IF(F124="oui","",IF(AND(F122=50,F123="oui",F126="non"),H129-(F121*4),IF(AND(F122=50,F123="oui",F126="oui"),H130-(F121*4),"")))</f>
        <v/>
      </c>
      <c r="I137"/>
      <c r="J137" s="69" t="s">
        <v>267</v>
      </c>
      <c r="K137" s="70">
        <v>1</v>
      </c>
      <c r="L137" s="71" t="str">
        <f t="shared" si="27"/>
        <v/>
      </c>
      <c r="M137" s="71" t="str">
        <f>IF(N137="","",N137*L125)</f>
        <v/>
      </c>
      <c r="N137" s="72" t="str">
        <f>IF(L124="oui","",IF(AND(L122=50,L123="oui",L126="non"),((L119-L120)*2),IF(AND(AND(L122&gt;=48,L122&lt;=50),L123="oui",L126="oui"),((L119-L121)*2),"")))</f>
        <v/>
      </c>
    </row>
    <row r="138" spans="3:14">
      <c r="C138" s="63" t="s">
        <v>40</v>
      </c>
      <c r="D138" s="64">
        <v>1</v>
      </c>
      <c r="E138" s="103" t="str">
        <f t="shared" si="24"/>
        <v/>
      </c>
      <c r="F138" s="79" t="str">
        <f t="shared" si="25"/>
        <v/>
      </c>
      <c r="G138" s="80" t="str">
        <f>IF(H138="","",H138*$F$14)</f>
        <v/>
      </c>
      <c r="H138" s="81" t="str">
        <f>IF(F124="oui","",IF(AND(OR(F122=30,F122=31),F123="non",F126="non"),H129-(F121*4),IF(AND(OR(F122=30,F122=31),F123="non",F126="oui"),H130-(F121*4),"")))</f>
        <v/>
      </c>
      <c r="I138"/>
      <c r="J138" s="63" t="s">
        <v>40</v>
      </c>
      <c r="K138" s="64">
        <v>1</v>
      </c>
      <c r="L138" s="65" t="str">
        <f t="shared" si="27"/>
        <v/>
      </c>
      <c r="M138" s="65" t="str">
        <f>IF(N138="","",N138*L125)</f>
        <v/>
      </c>
      <c r="N138" s="66" t="str">
        <f>IF(AND(OR(L122=30,L122=31),L123="non",L126="non"),((L119-L120)*2),"")</f>
        <v/>
      </c>
    </row>
    <row r="139" spans="3:14">
      <c r="C139" s="67" t="s">
        <v>41</v>
      </c>
      <c r="D139" s="60">
        <v>1</v>
      </c>
      <c r="E139" s="102" t="str">
        <f t="shared" si="24"/>
        <v/>
      </c>
      <c r="F139" s="76" t="str">
        <f t="shared" si="25"/>
        <v/>
      </c>
      <c r="G139" s="75" t="str">
        <f t="shared" ref="G139:G142" si="29">IF(H139="","",H139*$F$14)</f>
        <v/>
      </c>
      <c r="H139" s="82" t="str">
        <f>IF(F124="oui","",IF(AND(AND(F122&gt;=32,F122&lt;=36),F123="non",F126="non"),H129-(F121*4),IF(AND(AND(F122&gt;=32,F122&lt;=36),F123="non",F126="oui"),H130-(F121*4),"")))</f>
        <v/>
      </c>
      <c r="I139"/>
      <c r="J139" s="67" t="s">
        <v>41</v>
      </c>
      <c r="K139" s="60">
        <v>1</v>
      </c>
      <c r="L139" s="61" t="str">
        <f t="shared" si="27"/>
        <v/>
      </c>
      <c r="M139" s="61" t="str">
        <f>IF(N139="","",N139*L125)</f>
        <v/>
      </c>
      <c r="N139" s="68" t="str">
        <f>IF(L124="oui","",IF(AND(L122&gt;=32,L122&lt;=36,L123="non",L126="non"),((L119-L120)*2),IF(AND(AND(L122&gt;=30,L122&lt;=34),L123="non",L126="oui"),((L119-L121)*2),"")))</f>
        <v/>
      </c>
    </row>
    <row r="140" spans="3:14">
      <c r="C140" s="67" t="s">
        <v>42</v>
      </c>
      <c r="D140" s="60">
        <v>1</v>
      </c>
      <c r="E140" s="102" t="str">
        <f t="shared" si="24"/>
        <v/>
      </c>
      <c r="F140" s="76" t="str">
        <f t="shared" si="25"/>
        <v/>
      </c>
      <c r="G140" s="75" t="str">
        <f t="shared" si="29"/>
        <v/>
      </c>
      <c r="H140" s="82" t="str">
        <f>IF(F124="oui","",IF(AND(AND(F122&gt;=37,F122&lt;=41),F123="non",F126="non"),H129-(F121*4),IF(AND(AND(F122&gt;=37,F122&lt;=41),F123="non",F126="oui"),H130-(F121*4),"")))</f>
        <v/>
      </c>
      <c r="I140"/>
      <c r="J140" s="67" t="s">
        <v>42</v>
      </c>
      <c r="K140" s="60">
        <v>1</v>
      </c>
      <c r="L140" s="61" t="str">
        <f t="shared" si="27"/>
        <v/>
      </c>
      <c r="M140" s="61" t="str">
        <f>IF(N140="","",N140*L125)</f>
        <v/>
      </c>
      <c r="N140" s="68" t="str">
        <f>IF(L124="oui","",IF(AND(L122&gt;=37,L122&lt;=41,L123="non",L126="non"),((L119-L120)*2),IF(AND(AND(L122&gt;=35,L122&lt;=39),L123="non",L126="oui"),((L119-L121)*2),"")))</f>
        <v/>
      </c>
    </row>
    <row r="141" spans="3:14">
      <c r="C141" s="67" t="s">
        <v>43</v>
      </c>
      <c r="D141" s="60">
        <v>1</v>
      </c>
      <c r="E141" s="102" t="str">
        <f t="shared" si="24"/>
        <v/>
      </c>
      <c r="F141" s="76" t="str">
        <f t="shared" si="25"/>
        <v/>
      </c>
      <c r="G141" s="75" t="str">
        <f t="shared" si="29"/>
        <v/>
      </c>
      <c r="H141" s="82" t="str">
        <f>IF(F124="oui","",IF(AND(AND(F122&gt;=42,F122&lt;=46),F123="non",F126="non"),H129-(F121*4),IF(AND(AND(F122&gt;=42,F122&lt;=46),F123="non",F126="oui"),H130-(F121*4),"")))</f>
        <v/>
      </c>
      <c r="I141"/>
      <c r="J141" s="67" t="s">
        <v>43</v>
      </c>
      <c r="K141" s="60">
        <v>1</v>
      </c>
      <c r="L141" s="61" t="str">
        <f t="shared" si="27"/>
        <v/>
      </c>
      <c r="M141" s="61" t="str">
        <f>IF(N141="","",N141*L125)</f>
        <v/>
      </c>
      <c r="N141" s="68" t="str">
        <f>IF(L124="oui","",IF(AND(L122&gt;=42,L122&lt;=46,L123="non",L126="non"),((L119-L120)*2),IF(AND(AND(L122&gt;=40,L122&lt;=44),L123="non",L126="oui"),((L119-L121)*2),"")))</f>
        <v/>
      </c>
    </row>
    <row r="142" spans="3:14" ht="15" thickBot="1">
      <c r="C142" s="69" t="s">
        <v>44</v>
      </c>
      <c r="D142" s="70">
        <v>1</v>
      </c>
      <c r="E142" s="104" t="str">
        <f t="shared" si="24"/>
        <v/>
      </c>
      <c r="F142" s="86" t="str">
        <f t="shared" si="25"/>
        <v/>
      </c>
      <c r="G142" s="84" t="str">
        <f t="shared" si="29"/>
        <v/>
      </c>
      <c r="H142" s="85" t="str">
        <f>IF(F124="oui","",IF(AND(AND(F122&gt;=47,F122&lt;=50),F123="non",F126="non"),H129-(F121*4),IF(AND(AND(F122&gt;=47,F122&lt;=50),F123="non",F126="oui"),H130-(F121*4),"")))</f>
        <v/>
      </c>
      <c r="I142"/>
      <c r="J142" s="69" t="s">
        <v>44</v>
      </c>
      <c r="K142" s="70">
        <v>1</v>
      </c>
      <c r="L142" s="71" t="str">
        <f t="shared" si="27"/>
        <v/>
      </c>
      <c r="M142" s="71" t="str">
        <f>IF(N142="","",N142*L125)</f>
        <v/>
      </c>
      <c r="N142" s="72" t="str">
        <f>IF(L124="oui","",IF(AND(L122&gt;=47,L122&lt;=50,L123="non",L126="non"),((L119-L120)*2),IF(AND(AND(L122&gt;=45,L122&lt;=50),L123="non",L126="oui"),((L119-L121)*2),"")))</f>
        <v/>
      </c>
    </row>
    <row r="143" spans="3:14">
      <c r="C143" s="63" t="s">
        <v>45</v>
      </c>
      <c r="D143" s="64">
        <v>1</v>
      </c>
      <c r="E143" s="103">
        <f t="shared" si="24"/>
        <v>0</v>
      </c>
      <c r="F143" s="87">
        <f t="shared" si="25"/>
        <v>0</v>
      </c>
      <c r="G143" s="80">
        <f>IF(H143="","",H143*$F$14)</f>
        <v>0</v>
      </c>
      <c r="H143" s="88">
        <f>IF(AND(OR(F122=30,F122=31),H129&lt;&gt;"",H132&lt;&gt;""),H129-H132,IF(AND(OR(F122=30,F122=31),H130&lt;&gt;"",H132&lt;&gt;""),H130-H132,IF(AND(OR(F122=30,F122=31),F123="oui",F126="non"),H129-H133,IF(AND(OR(F122=30,F122=31),F123="non",F126="non"),H129-H138,IF(AND(OR(F122=30,F122=31),F123="oui",F126="oui"),H130-H133,IF(AND(OR(F122=30,F122=31),F123="non",F126="oui"),H130-H138,""))))))</f>
        <v>0</v>
      </c>
      <c r="I143"/>
      <c r="J143" s="63" t="s">
        <v>45</v>
      </c>
      <c r="K143" s="64">
        <v>1</v>
      </c>
      <c r="L143" s="65" t="str">
        <f t="shared" si="27"/>
        <v/>
      </c>
      <c r="M143" s="65" t="str">
        <f>IF(N143="","",N143*L125)</f>
        <v/>
      </c>
      <c r="N143" s="66" t="str">
        <f>IF(AND(OR(L122=30,L122=31),L124="oui",L126="non"),N129-N132,IF(AND(OR(L122=30,L122=31),L123="oui",L126="oui"),N129-N133,IF(AND(OR(L122=30,L122=31),L123="non",L126="oui"),N129-N139,IF(AND(OR(L122=30,L122=31),L123="oui",L126="non"),N129-N133,IF(AND(OR(L122=30,L122=31),L123="non",L126="non"),N129-N138,"")))))</f>
        <v/>
      </c>
    </row>
    <row r="144" spans="3:14">
      <c r="C144" s="67" t="s">
        <v>46</v>
      </c>
      <c r="D144" s="60">
        <v>1</v>
      </c>
      <c r="E144" s="102" t="str">
        <f t="shared" si="24"/>
        <v/>
      </c>
      <c r="F144" s="76" t="str">
        <f t="shared" si="25"/>
        <v/>
      </c>
      <c r="G144" s="75" t="str">
        <f t="shared" ref="G144:G151" si="30">IF(H144="","",H144*$F$14)</f>
        <v/>
      </c>
      <c r="H144" s="82" t="str">
        <f>IF(AND(OR(F122=32,F122=33),H129&lt;&gt;"",H132&lt;&gt;""),H129-H132,IF(AND(OR(F122=32,F122=33),H130&lt;&gt;"",H132&lt;&gt;""),H130-H132,IF(AND(OR(F122=32,F122=33),F123="oui",F126="non"),H129-H133,IF(AND(OR(F122=32,F122=33),F123="non",F126="non"),H129-H139,IF(AND(OR(F122=32,F122=33),F123="oui",F126="oui"),H130-H133,IF(AND(OR(F122=32,F122=33),F123="non",F126="oui"),H130-H139,""))))))</f>
        <v/>
      </c>
      <c r="I144"/>
      <c r="J144" s="67" t="s">
        <v>46</v>
      </c>
      <c r="K144" s="60">
        <v>1</v>
      </c>
      <c r="L144" s="61" t="str">
        <f t="shared" si="27"/>
        <v/>
      </c>
      <c r="M144" s="61" t="str">
        <f>IF(N144="","",N144*L125)</f>
        <v/>
      </c>
      <c r="N144" s="68" t="str">
        <f>IF(AND(OR(L122=32,L122=33),L124="oui",L126="non"),N129-N132,IF(AND(L122=32,L123="oui",L126="oui"),N129-N133,IF(AND(L122=33,L123="oui",L126="oui"),N129-N134,IF(AND(OR(L122=32,L122=33),L123="non",L126="oui"),N129-N139,IF(AND(OR(L122=32,L122=33),L123="oui",L126="non"),N129-N133,IF(AND(OR(L122=32,L122=33),L123="non",L126="non"),N129-N139,""))))))</f>
        <v/>
      </c>
    </row>
    <row r="145" spans="3:14">
      <c r="C145" s="67" t="s">
        <v>47</v>
      </c>
      <c r="D145" s="60">
        <v>1</v>
      </c>
      <c r="E145" s="102" t="str">
        <f t="shared" si="24"/>
        <v/>
      </c>
      <c r="F145" s="76" t="str">
        <f>IF(H145="","",ROUNDUP(H145+G145,0))</f>
        <v/>
      </c>
      <c r="G145" s="75" t="str">
        <f t="shared" si="30"/>
        <v/>
      </c>
      <c r="H145" s="82" t="str">
        <f>IF(AND(OR(F122=34,F122=35),H129&lt;&gt;"",H132&lt;&gt;""),H129-H132,IF(AND(OR(F122=34,F122=35),H130&lt;&gt;"",H132&lt;&gt;""),H130-H132,IF(AND(F122=34,F123="oui",F126="non"),H129-H133,IF(AND(F122=35,F123="oui",F126="non"),H129-H134,IF(AND(OR(F122=34,F122=35),F123="non",F126="non"),H129-H139,IF(AND(F122=34,F123="oui",F126="oui"),H130-H133,IF(AND(F122=35,F123="oui",F126="oui"),H130-H134,IF(AND(OR(F122=34,F122=35),F123="non",F126="oui"),H130-H139,""))))))))</f>
        <v/>
      </c>
      <c r="I145"/>
      <c r="J145" s="67" t="s">
        <v>47</v>
      </c>
      <c r="K145" s="60">
        <v>1</v>
      </c>
      <c r="L145" s="61" t="str">
        <f t="shared" si="27"/>
        <v/>
      </c>
      <c r="M145" s="61" t="str">
        <f>IF(N145="","",N145*L125)</f>
        <v/>
      </c>
      <c r="N145" s="68" t="str">
        <f>IF(AND(OR(L122=34,L122=35),L124="oui",L126="non"),N129-N132,IF(AND(OR(L122=34,L122=35),L123="oui",L126="oui"),N129-N134,IF(AND(L122=34,L123="non",L126="oui"),N129-N139,IF(AND(L122=35,L123="non",L126="oui"),N129-N140,IF(AND(L122=34,L123="oui",L126="non"),N129-N133,IF(AND(L122=35,L123="oui",L126="non"),N129-N134,IF(AND(OR(L122=34,L122=35),L123="non",L126="non"),N129-N139,"")))))))</f>
        <v/>
      </c>
    </row>
    <row r="146" spans="3:14">
      <c r="C146" s="67" t="s">
        <v>48</v>
      </c>
      <c r="D146" s="60">
        <v>1</v>
      </c>
      <c r="E146" s="102" t="str">
        <f t="shared" si="24"/>
        <v/>
      </c>
      <c r="F146" s="76" t="str">
        <f t="shared" ref="F146:F151" si="31">IF(H146="","",ROUNDUP(H146+G146,0))</f>
        <v/>
      </c>
      <c r="G146" s="75" t="str">
        <f t="shared" si="30"/>
        <v/>
      </c>
      <c r="H146" s="82" t="str">
        <f>IF(AND(OR(F122=36,F122=37),H129&lt;&gt;"",H132&lt;&gt;""),H129-H132,IF(AND(OR(F122=36,F122=37),H130&lt;&gt;"",H132&lt;&gt;""),H130-H132,IF(AND(F122=36,F123="oui",F126="non"),H129-H134,IF(AND(F122=36,F123="non",F126="non"),H129-H139,IF(AND(F122=37,F123="oui",F126="non"),H129-H134,IF(AND(F122=37,F123="non",F126="non"),H129-H140,IF(AND(F122=36,F123="oui",F126="oui"),H130-H134,IF(AND(F122=36,F123="non",F126="oui"),H130-H139,IF(AND(F122=37,F123="oui",F126="oui"),H130-H134,IF(AND(F122=37,F123="non",F126="oui"),H130-H140,""))))))))))</f>
        <v/>
      </c>
      <c r="I146"/>
      <c r="J146" s="67" t="s">
        <v>48</v>
      </c>
      <c r="K146" s="60">
        <v>1</v>
      </c>
      <c r="L146" s="61" t="str">
        <f t="shared" si="27"/>
        <v/>
      </c>
      <c r="M146" s="61" t="str">
        <f>IF(N146="","",N146*L125)</f>
        <v/>
      </c>
      <c r="N146" s="68" t="str">
        <f>IF(AND(OR(L122=36,L122=37),L124="oui",L126="non"),N129-N132,IF(AND(OR(L122=36,L122=37),L123="oui",L126="oui"),N129-N134,IF(AND(OR(L122=36,L122=37),L123="non",L126="oui"),N129-N140,IF(AND(OR(L122=36,L122=37),L123="oui",L126="non"),N129-N134,IF(AND(L122=36,L123="non",L126="non"),N129-N139,IF(AND(L122=37,L123="non",L126="non"),N129-N140,""))))))</f>
        <v/>
      </c>
    </row>
    <row r="147" spans="3:14">
      <c r="C147" s="67" t="s">
        <v>49</v>
      </c>
      <c r="D147" s="60">
        <v>1</v>
      </c>
      <c r="E147" s="102" t="str">
        <f t="shared" si="24"/>
        <v/>
      </c>
      <c r="F147" s="76" t="str">
        <f t="shared" si="31"/>
        <v/>
      </c>
      <c r="G147" s="75" t="str">
        <f t="shared" si="30"/>
        <v/>
      </c>
      <c r="H147" s="82" t="str">
        <f>IF(AND(OR(F122=38,F122=39),H129&lt;&gt;"",H132&lt;&gt;""),H129-H132,IF(AND(OR(F122=36,F122=37),H130&lt;&gt;"",H132&lt;&gt;""),H130-H132,IF(AND(OR(F122=38,F122=39),F123="oui",F126="non"),H129-H134,IF(AND(OR(F122=38,F122=39),F123="non",F126="non"),H129-H140,IF(AND(OR(F122=38,F122=39),F123="oui",F126="oui"),H130-H134,IF(AND(OR(F122=38,F122=39),F123="non",F126="oui"),H130-H140,""))))))</f>
        <v/>
      </c>
      <c r="I147"/>
      <c r="J147" s="67" t="s">
        <v>49</v>
      </c>
      <c r="K147" s="60">
        <v>1</v>
      </c>
      <c r="L147" s="61" t="str">
        <f t="shared" si="27"/>
        <v/>
      </c>
      <c r="M147" s="61" t="str">
        <f>IF(N147="","",N147*L125)</f>
        <v/>
      </c>
      <c r="N147" s="68" t="str">
        <f>IF(AND(OR(L122=38,L122=39),L124="oui",L126="non"),N129-N132,IF(AND(OR(L122=38,L122=39),L123="oui",L126="oui"),N129-N135,IF(AND(OR(L122=38,L122=39),L123="non",L126="oui"),N129-N140,IF(AND(OR(L122=38,L122=39),L123="oui",L126="non"),N129-N134,IF(AND(OR(L122=38,L122=39),L123="non",L126="non"),N129-N140,"")))))</f>
        <v/>
      </c>
    </row>
    <row r="148" spans="3:14">
      <c r="C148" s="67" t="s">
        <v>50</v>
      </c>
      <c r="D148" s="60">
        <v>1</v>
      </c>
      <c r="E148" s="102" t="str">
        <f t="shared" si="24"/>
        <v/>
      </c>
      <c r="F148" s="76" t="str">
        <f t="shared" si="31"/>
        <v/>
      </c>
      <c r="G148" s="75" t="str">
        <f t="shared" si="30"/>
        <v/>
      </c>
      <c r="H148" s="82" t="str">
        <f>IF(AND(OR(F122=40,F122=41),H129&lt;&gt;"",H132&lt;&gt;""),H129-H132,IF(AND(OR(F122=40,F122=41),H130&lt;&gt;"",H132&lt;&gt;""),H130-H132,IF(AND(OR(F122=40,F122=41),F123="oui",F126="non"),H129-H135,IF(AND(OR(F122=40,F122=41),F123="non",F126="non"),H129-H140,IF(AND(OR(F122=40,F122=41),F123="oui",F126="oui"),H130-H135,IF(AND(OR(F122=40,F122=41),F123="non",F126="oui"),H130-H140,""))))))</f>
        <v/>
      </c>
      <c r="I148"/>
      <c r="J148" s="67" t="s">
        <v>50</v>
      </c>
      <c r="K148" s="60">
        <v>1</v>
      </c>
      <c r="L148" s="61" t="str">
        <f t="shared" si="27"/>
        <v/>
      </c>
      <c r="M148" s="61" t="str">
        <f>IF(N148="","",N148*L125)</f>
        <v/>
      </c>
      <c r="N148" s="68" t="str">
        <f>IF(AND(OR(L122=40,L122=41),L124="oui",L126="non"),N129-N132,IF(AND(OR(L122=40,L122=41),L123="oui",L126="oui"),N129-N135,IF(AND(OR(L122=40,L122=41),L123="non",L126="oui"),N129-N141,IF(AND(OR(L122=40,L122=41),L123="oui",L126="non"),N129-N135,IF(AND(OR(L122=40,L122=41),L123="non",L126="non"),N129-N140,"")))))</f>
        <v/>
      </c>
    </row>
    <row r="149" spans="3:14">
      <c r="C149" s="67" t="s">
        <v>51</v>
      </c>
      <c r="D149" s="60">
        <v>1</v>
      </c>
      <c r="E149" s="102" t="str">
        <f t="shared" si="24"/>
        <v/>
      </c>
      <c r="F149" s="76" t="str">
        <f t="shared" si="31"/>
        <v/>
      </c>
      <c r="G149" s="75" t="str">
        <f t="shared" si="30"/>
        <v/>
      </c>
      <c r="H149" s="82" t="str">
        <f>IF(AND(OR(F122=42,F122=43,F122=44),H129&lt;&gt;"",H132&lt;&gt;""),H129-H132,IF(AND(OR(F122=42,F122=43,F122=44),H130&lt;&gt;"",H132&lt;&gt;""),H130-H132,IF(AND(AND(F122&gt;=42,F122&lt;=44),F123="oui",F126="non"),H129-H135,IF(AND(AND(F122&gt;=42,F122&lt;=44),F123="non",F126="non"),H129-H141,IF(AND(AND(F122&gt;=42,F122&lt;=44),F123="oui",F126="oui"),H130-H135,IF(AND(AND(F122&gt;=42,F122&lt;=44),F123="non",F126="oui"),H130-H141,""))))))</f>
        <v/>
      </c>
      <c r="I149"/>
      <c r="J149" s="67" t="s">
        <v>51</v>
      </c>
      <c r="K149" s="60">
        <v>1</v>
      </c>
      <c r="L149" s="61" t="str">
        <f t="shared" si="27"/>
        <v/>
      </c>
      <c r="M149" s="61" t="str">
        <f>IF(N149="","",N149*L125)</f>
        <v/>
      </c>
      <c r="N149" s="68" t="str">
        <f>IF(AND(OR(L122=42,L122=43,L122=44),L124="oui",L126="non"),N129-N132,IF(AND(L122=42,L123="oui",L126="oui"),N129-N135,IF(AND(OR(L122=42,L122=43),L123="oui",L126="oui"),N129-N136,IF(AND(OR(L122=42,L122=43,L122=44),L123="non",L126="oui"),N129-N141,IF(AND(OR(L122=42,L122=43,L122=44),L123="oui",L126="non"),N129-N135,IF(AND(OR(L122=42,L122=43,L122=44),L123="non",L126="non"),N129-N141,""))))))</f>
        <v/>
      </c>
    </row>
    <row r="150" spans="3:14">
      <c r="C150" s="67" t="s">
        <v>52</v>
      </c>
      <c r="D150" s="60">
        <v>1</v>
      </c>
      <c r="E150" s="105" t="str">
        <f t="shared" si="24"/>
        <v/>
      </c>
      <c r="F150" s="83" t="str">
        <f t="shared" si="31"/>
        <v/>
      </c>
      <c r="G150" s="75" t="str">
        <f t="shared" si="30"/>
        <v/>
      </c>
      <c r="H150" s="82" t="str">
        <f>IF(AND(OR(F122=45,F122=46,F122=47,F122=48,F122=49),H129&lt;&gt;"",H132&lt;&gt;""),H129-H132,IF(AND(OR(F122=45,F122=46,F122=47,F122=48,F122=49),H130&lt;&gt;"",H132&lt;&gt;""),H130-H132,IF(AND(OR(F122=45,F122=46),F123="oui",F126="non"),H129-H136,IF(AND(OR(F122=45,F122=46),F123="non",F126="non"),H129-H141,IF(AND(AND(F122&gt;=47,F122&lt;=49),F123="oui",F126="non"),H129-H136,IF(AND(AND(F122&gt;=47,F122&lt;=49),F123="non",F126="non"),H129-H142,IF(AND(OR(F122=45,F122=46),F123="oui",F126="oui"),H130-H136,IF(AND(OR(F122=45,F122=46),F123="non",F126="oui"),H130-H141,IF(AND(AND(F122&gt;=47,F122&lt;=49),F123="oui",F126="oui"),H130-H136,IF(AND(AND(F122&gt;=47,F122&lt;=49),F123="non",F126="oui"),H130-H142,""))))))))))</f>
        <v/>
      </c>
      <c r="I150"/>
      <c r="J150" s="67" t="s">
        <v>52</v>
      </c>
      <c r="K150" s="60">
        <v>1</v>
      </c>
      <c r="L150" s="61" t="str">
        <f t="shared" si="27"/>
        <v/>
      </c>
      <c r="M150" s="61" t="str">
        <f>IF(N150="","",N150*L125)</f>
        <v/>
      </c>
      <c r="N150" s="68" t="str">
        <f>IF(AND(AND(L122&gt;=45,L122&lt;=49),L124="oui",L126="non"),N129-N132,IF(AND(OR(L122=45,L122=46,L122=47),L123="oui",L126="oui"),N129-N136,IF(AND(OR(L122=48,L122=49),L123="oui",L126="oui"),N129-N137,IF(AND(AND(L122&gt;=45,L122&lt;=49),L123="non",L126="oui"),N129-N142,IF(AND(AND(L122&gt;=45,L122&lt;=49),L123="oui",L126="non"),N129-N136,IF(AND(OR(L122=45,L122=46),L123="non",L126="non"),N129-N141,IF(AND(AND(L122&gt;=47,L122&lt;=49),L123="non",L126="non"),N129-N142,"")))))))</f>
        <v/>
      </c>
    </row>
    <row r="151" spans="3:14" ht="15" thickBot="1">
      <c r="C151" s="69" t="s">
        <v>53</v>
      </c>
      <c r="D151" s="70">
        <v>1</v>
      </c>
      <c r="E151" s="104" t="str">
        <f t="shared" si="24"/>
        <v/>
      </c>
      <c r="F151" s="86" t="str">
        <f t="shared" si="31"/>
        <v/>
      </c>
      <c r="G151" s="84" t="str">
        <f t="shared" si="30"/>
        <v/>
      </c>
      <c r="H151" s="85" t="str">
        <f>IF(AND(F122=50,H129&lt;&gt;"",H132&lt;&gt;""),H129-H132,IF(AND(F122=50,H130&lt;&gt;"",H132&lt;&gt;""),H130-H132,IF(AND(F122=50,F123="oui",F126="non"),H129-H137,IF(AND(F122=50,F123="non",F126="non"),H129-H142,IF(AND(F122=50,F123="oui",F126="oui"),H130-H137,IF(AND(F122=50,F123="non",F126="oui"),H130-H142,""))))))</f>
        <v/>
      </c>
      <c r="I151"/>
      <c r="J151" s="69" t="s">
        <v>53</v>
      </c>
      <c r="K151" s="70">
        <v>1</v>
      </c>
      <c r="L151" s="71" t="str">
        <f t="shared" si="27"/>
        <v/>
      </c>
      <c r="M151" s="71" t="str">
        <f>IF(N151="","",N151*L125)</f>
        <v/>
      </c>
      <c r="N151" s="236" t="str">
        <f>IF(AND(L122=50,L124="oui",L126="non"),N129-N132,IF(AND(L122=50,L123="oui",L126="oui"),N129-N137,IF(AND(L122=50,L123="non",L126="oui"),N129-N142,IF(AND(L122=50,L123="oui",L126="non"),N129-N137,IF(AND(L122=50,L123="non",L126="non"),N129-N142,"")))))</f>
        <v/>
      </c>
    </row>
    <row r="152" spans="3:14" ht="15" thickBot="1">
      <c r="C152" s="205" t="s">
        <v>105</v>
      </c>
      <c r="D152" s="206">
        <v>1</v>
      </c>
      <c r="E152" s="207">
        <f t="shared" si="24"/>
        <v>0</v>
      </c>
      <c r="F152" s="197">
        <f>IF(H152="","",ROUNDUP(H152+G152,0))</f>
        <v>0</v>
      </c>
      <c r="G152" s="197">
        <f>IF(H152="","",H152*$F$14)</f>
        <v>0</v>
      </c>
      <c r="H152" s="197">
        <f>IF(F121="","",(IF(OR(F122=30,F122=31),F143/2, IF(OR(F122=32,F122=33),F144/2,IF(OR(F122=34,F122=35),F145/2,IF(OR(F122=36,F122=37),F146/2,IF(OR(F122=38,F122=39),F147/2,IF(OR(F122=40,F122=41),F148/2,IF(OR(F122=42,F122=43,F122=44),F149/2,IF(OR(F122=45,F122=46,F122=47,F122=48,F122=49),F150/2,IF(F122=50,F151/2)))))))))))</f>
        <v>0</v>
      </c>
      <c r="I152"/>
      <c r="J152" s="205" t="s">
        <v>105</v>
      </c>
      <c r="K152" s="206">
        <v>1</v>
      </c>
      <c r="L152" s="197" t="str">
        <f>IF(N152="","",ROUNDUP(N152+M152,0))</f>
        <v/>
      </c>
      <c r="M152" s="197" t="str">
        <f>IF(N152="","",N152*$F$14)</f>
        <v/>
      </c>
      <c r="N152" s="197" t="str">
        <f>IF(L121="","",(IF(L126="oui",L119,(IF(OR(L122=30,L122=31),L143/2, IF(OR(L122=32,L122=33),L144/2,IF(OR(L122=34,L122=35),L145/2,IF(OR(L122=36,L122=37),L146/2,IF(OR(L122=38,L122=39),L147/2,IF(OR(L122=40,L122=41),L148/2,IF(OR(L122=42,L122=43,L122=44),L149/2,IF(OR(L122=45,L122=46,L122=47,L122=48,L122=49),L150/2,IF(L122=50,L151/2)))))))))))))</f>
        <v/>
      </c>
    </row>
    <row r="153" spans="3:14" ht="15" thickBot="1"/>
    <row r="154" spans="3:14" ht="15" thickBot="1">
      <c r="C154" s="337" t="s">
        <v>196</v>
      </c>
      <c r="D154" s="338"/>
      <c r="E154" s="338"/>
      <c r="F154" s="339"/>
      <c r="J154" s="337" t="s">
        <v>197</v>
      </c>
      <c r="K154" s="338"/>
      <c r="L154" s="339"/>
    </row>
    <row r="155" spans="3:14">
      <c r="C155" s="340" t="s">
        <v>15</v>
      </c>
      <c r="D155" s="340"/>
      <c r="E155" s="175"/>
      <c r="F155" s="101" t="s">
        <v>25</v>
      </c>
      <c r="G155" s="176"/>
      <c r="H155" s="40"/>
      <c r="J155" s="341" t="s">
        <v>128</v>
      </c>
      <c r="K155" s="341"/>
      <c r="L155" s="177" t="s">
        <v>25</v>
      </c>
      <c r="M155" s="178"/>
      <c r="N155" s="178"/>
    </row>
    <row r="156" spans="3:14">
      <c r="C156" s="336" t="s">
        <v>26</v>
      </c>
      <c r="D156" s="336"/>
      <c r="E156" s="179"/>
      <c r="F156" s="14">
        <v>0</v>
      </c>
      <c r="G156" s="19"/>
      <c r="H156" s="180"/>
      <c r="J156" s="336" t="s">
        <v>26</v>
      </c>
      <c r="K156" s="336"/>
      <c r="L156" s="42"/>
      <c r="M156" s="181"/>
      <c r="N156" s="182"/>
    </row>
    <row r="157" spans="3:14" ht="14.25" customHeight="1">
      <c r="C157" s="336" t="s">
        <v>27</v>
      </c>
      <c r="D157" s="336"/>
      <c r="E157" s="179"/>
      <c r="F157" s="14">
        <v>0</v>
      </c>
      <c r="G157" s="19"/>
      <c r="H157" s="180"/>
      <c r="J157" s="336" t="s">
        <v>27</v>
      </c>
      <c r="K157" s="336"/>
      <c r="L157" s="42"/>
      <c r="M157" s="181"/>
      <c r="N157" s="182"/>
    </row>
    <row r="158" spans="3:14">
      <c r="C158" s="336" t="s">
        <v>28</v>
      </c>
      <c r="D158" s="336"/>
      <c r="E158" s="179"/>
      <c r="F158" s="14">
        <v>0</v>
      </c>
      <c r="G158" s="19"/>
      <c r="H158" s="180"/>
      <c r="J158" s="336" t="s">
        <v>28</v>
      </c>
      <c r="K158" s="336"/>
      <c r="L158" s="42"/>
      <c r="M158" s="181"/>
      <c r="N158" s="182"/>
    </row>
    <row r="159" spans="3:14">
      <c r="C159" s="336" t="s">
        <v>29</v>
      </c>
      <c r="D159" s="336"/>
      <c r="E159" s="179"/>
      <c r="F159" s="14">
        <v>30</v>
      </c>
      <c r="G159" s="19"/>
      <c r="H159" s="180"/>
      <c r="J159" s="336" t="s">
        <v>136</v>
      </c>
      <c r="K159" s="336"/>
      <c r="L159" s="14"/>
      <c r="M159" s="181"/>
      <c r="N159" s="182"/>
    </row>
    <row r="160" spans="3:14">
      <c r="C160" s="336" t="s">
        <v>270</v>
      </c>
      <c r="D160" s="336"/>
      <c r="E160" s="179"/>
      <c r="F160" s="14" t="s">
        <v>33</v>
      </c>
      <c r="G160" s="19"/>
      <c r="H160" s="180"/>
      <c r="J160" s="336" t="s">
        <v>270</v>
      </c>
      <c r="K160" s="336"/>
      <c r="L160" s="14"/>
      <c r="M160" s="181"/>
      <c r="N160" s="182"/>
    </row>
    <row r="161" spans="3:14">
      <c r="C161" s="336" t="s">
        <v>272</v>
      </c>
      <c r="D161" s="336"/>
      <c r="E161" s="179"/>
      <c r="F161" s="14" t="s">
        <v>33</v>
      </c>
      <c r="G161" s="19"/>
      <c r="H161" s="180"/>
      <c r="J161" s="331" t="s">
        <v>269</v>
      </c>
      <c r="K161" s="332"/>
      <c r="L161" s="14"/>
      <c r="M161" s="181"/>
      <c r="N161" s="182"/>
    </row>
    <row r="162" spans="3:14">
      <c r="C162" s="336" t="s">
        <v>146</v>
      </c>
      <c r="D162" s="336"/>
      <c r="E162" s="179"/>
      <c r="F162" s="15">
        <v>0</v>
      </c>
      <c r="G162" s="16"/>
      <c r="H162"/>
      <c r="J162" s="336" t="s">
        <v>135</v>
      </c>
      <c r="K162" s="336"/>
      <c r="L162" s="15"/>
      <c r="M162" s="183"/>
      <c r="N162" s="184"/>
    </row>
    <row r="163" spans="3:14">
      <c r="C163" s="334" t="s">
        <v>250</v>
      </c>
      <c r="D163" s="334"/>
      <c r="E163" s="179"/>
      <c r="F163" s="239" t="s">
        <v>65</v>
      </c>
      <c r="G163" s="185"/>
      <c r="H163"/>
      <c r="J163" s="334" t="s">
        <v>252</v>
      </c>
      <c r="K163" s="334"/>
      <c r="L163" s="239"/>
      <c r="M163" s="181"/>
      <c r="N163" s="182"/>
    </row>
    <row r="164" spans="3:14" ht="15" thickBot="1">
      <c r="C164"/>
      <c r="D164"/>
      <c r="E164"/>
      <c r="H164"/>
      <c r="J164" s="335"/>
      <c r="K164" s="335"/>
      <c r="L164" s="41"/>
      <c r="M164" s="41"/>
      <c r="N164" s="186"/>
    </row>
    <row r="165" spans="3:14">
      <c r="C165" s="187" t="s">
        <v>34</v>
      </c>
      <c r="D165" s="188" t="s">
        <v>35</v>
      </c>
      <c r="E165" s="188"/>
      <c r="F165" s="188" t="s">
        <v>25</v>
      </c>
      <c r="G165" s="80" t="str">
        <f>IF(H165="","",H165*F162)</f>
        <v/>
      </c>
      <c r="H165" s="81"/>
      <c r="I165"/>
      <c r="J165" s="189" t="s">
        <v>34</v>
      </c>
      <c r="K165" s="189" t="s">
        <v>35</v>
      </c>
      <c r="L165" s="177" t="s">
        <v>25</v>
      </c>
      <c r="M165" s="178"/>
      <c r="N165" s="178"/>
    </row>
    <row r="166" spans="3:14">
      <c r="C166" s="67" t="s">
        <v>38</v>
      </c>
      <c r="D166" s="60">
        <v>1</v>
      </c>
      <c r="E166" s="102">
        <f>F166</f>
        <v>0</v>
      </c>
      <c r="F166" s="74">
        <f>IF(H166="","",ROUNDUP(G166+H166,0))</f>
        <v>0</v>
      </c>
      <c r="G166" s="75">
        <f>IF(H166="","",H166*F162)</f>
        <v>0</v>
      </c>
      <c r="H166" s="82">
        <f>IF(OR(F163="oui",F163=""),"",IF((F163="non"),IF(OR(F156="",F158=""),"",(F156+F158)*2)))</f>
        <v>0</v>
      </c>
      <c r="I166"/>
      <c r="J166" s="59" t="s">
        <v>134</v>
      </c>
      <c r="K166" s="60">
        <v>1</v>
      </c>
      <c r="L166" s="61" t="str">
        <f>IF(N166="","",ROUNDUP(N166+M166+1,0))</f>
        <v/>
      </c>
      <c r="M166" s="61" t="str">
        <f>IF(N166="","",N166*L162)</f>
        <v/>
      </c>
      <c r="N166" s="62" t="str">
        <f>IF(OR(L156="",L157=""),"",IF(L163="non",((L156*2)+(L157*2)),IF(L163="oui",((L156*2)+(L158*2)))))</f>
        <v/>
      </c>
    </row>
    <row r="167" spans="3:14">
      <c r="C167" s="67" t="s">
        <v>249</v>
      </c>
      <c r="D167" s="60">
        <v>1</v>
      </c>
      <c r="E167" s="102" t="str">
        <f>F167</f>
        <v/>
      </c>
      <c r="F167" s="74" t="str">
        <f>IF(H167="","",ROUNDUP(G167+H167,0))</f>
        <v/>
      </c>
      <c r="G167" s="75" t="str">
        <f>IF(H167="","",H167*F162)</f>
        <v/>
      </c>
      <c r="H167" s="82" t="str">
        <f>IF(OR(F163="non",F163=""),"",IF((F163="oui"),IF(OR(F156="",F158=""),"",(F156+F158)*2)))</f>
        <v/>
      </c>
      <c r="I167"/>
      <c r="J167" s="59" t="s">
        <v>253</v>
      </c>
      <c r="K167" s="60">
        <v>1</v>
      </c>
      <c r="L167" s="61" t="str">
        <f>IF(N167="","",ROUNDUP(N167+M167+1,0))</f>
        <v/>
      </c>
      <c r="M167" s="61" t="str">
        <f>IF(N167="","",N167*L162)</f>
        <v/>
      </c>
      <c r="N167" s="62" t="str">
        <f>IF(L163="oui",N166,"")</f>
        <v/>
      </c>
    </row>
    <row r="168" spans="3:14" ht="15" thickBot="1">
      <c r="C168" s="69" t="s">
        <v>39</v>
      </c>
      <c r="D168" s="70">
        <v>100</v>
      </c>
      <c r="E168" s="104">
        <f>F168</f>
        <v>0</v>
      </c>
      <c r="F168" s="190">
        <f>IF(H168="","",ROUNDUP(G168+H168,0))</f>
        <v>0</v>
      </c>
      <c r="G168" s="191">
        <f>IF(H168="","",H168*F162)</f>
        <v>0</v>
      </c>
      <c r="H168" s="85">
        <f>IF(AND(H166="",H167=""),"",IF(H166&lt;&gt;"",(H166*3)/100,IF(H167&lt;&gt;"",(H167*3)/100)))</f>
        <v>0</v>
      </c>
      <c r="I168"/>
      <c r="J168" s="77" t="s">
        <v>39</v>
      </c>
      <c r="K168" s="78">
        <v>100</v>
      </c>
      <c r="L168" s="192" t="str">
        <f>IF(N168="","",ROUNDUP(N168+M168,0))</f>
        <v/>
      </c>
      <c r="M168" s="192" t="str">
        <f>IF(N168="","",N168*L162)</f>
        <v/>
      </c>
      <c r="N168" s="193" t="str">
        <f>IF(N166="","",(L166*4)/100)</f>
        <v/>
      </c>
    </row>
    <row r="169" spans="3:14" ht="15" thickBot="1">
      <c r="C169" s="312" t="s">
        <v>262</v>
      </c>
      <c r="D169" s="64">
        <v>1</v>
      </c>
      <c r="E169" s="194">
        <f t="shared" ref="E169:E189" si="32">F169</f>
        <v>0</v>
      </c>
      <c r="F169" s="195">
        <f t="shared" ref="F169:F181" si="33">IF(H169="","",ROUNDUP(H169+G169,0))</f>
        <v>0</v>
      </c>
      <c r="G169" s="196">
        <f t="shared" ref="G169" si="34">IF(H169="","",H169*$F$14)</f>
        <v>0</v>
      </c>
      <c r="H169" s="197">
        <f>IF(AND(F160="oui",F161="oui",F163="non"),H166-(F158*4),IF(AND(F160="oui",F161="oui",F163="oui"),H167-(F158*4),""))</f>
        <v>0</v>
      </c>
      <c r="I169"/>
      <c r="J169" s="312" t="s">
        <v>262</v>
      </c>
      <c r="K169" s="198">
        <v>1</v>
      </c>
      <c r="L169" s="199" t="str">
        <f t="shared" ref="L169:L188" si="35">IF(N169="","",ROUNDUP(N169+M169,0))</f>
        <v/>
      </c>
      <c r="M169" s="199" t="str">
        <f>IF(N169="","",N169*L162)</f>
        <v/>
      </c>
      <c r="N169" s="200" t="str">
        <f>IF(AND(L160="oui",L161="oui",L163="non"),((L156-L157)*2),"")</f>
        <v/>
      </c>
    </row>
    <row r="170" spans="3:14">
      <c r="C170" s="313" t="s">
        <v>263</v>
      </c>
      <c r="D170" s="64">
        <v>1</v>
      </c>
      <c r="E170" s="103" t="str">
        <f t="shared" si="32"/>
        <v/>
      </c>
      <c r="F170" s="87" t="str">
        <f t="shared" si="33"/>
        <v/>
      </c>
      <c r="G170" s="201" t="str">
        <f>IF(H170="","",H170*$F$14)</f>
        <v/>
      </c>
      <c r="H170" s="173" t="str">
        <f>IF(F161="oui","",IF(AND(AND(F159&gt;=30,F159&lt;=34),F160="oui",F161="non",F163="non"),H166-(F158*4),IF(AND(AND(F159&gt;=30,F159&lt;=34),F160="oui",F161="non",F163="oui"),H167-(F158*4),"")))</f>
        <v/>
      </c>
      <c r="I170"/>
      <c r="J170" s="313" t="s">
        <v>263</v>
      </c>
      <c r="K170" s="89">
        <v>1</v>
      </c>
      <c r="L170" s="73" t="str">
        <f t="shared" si="35"/>
        <v/>
      </c>
      <c r="M170" s="73" t="str">
        <f>IF(N170="","",N170*L162)</f>
        <v/>
      </c>
      <c r="N170" s="202" t="str">
        <f>IF(L161="oui","",IF(AND(L159&gt;=30,L159&lt;=34,L160="oui",L163="non"),((L156-L157)*2),IF(AND(AND(L159&gt;=30,L159&lt;=32),L160="oui",L163="oui"),((L156-L158)*2),"")))</f>
        <v/>
      </c>
    </row>
    <row r="171" spans="3:14">
      <c r="C171" s="67" t="s">
        <v>264</v>
      </c>
      <c r="D171" s="60">
        <v>1</v>
      </c>
      <c r="E171" s="102" t="str">
        <f t="shared" si="32"/>
        <v/>
      </c>
      <c r="F171" s="76" t="str">
        <f t="shared" si="33"/>
        <v/>
      </c>
      <c r="G171" s="201" t="str">
        <f t="shared" ref="G171:G174" si="36">IF(H171="","",H171*$F$14)</f>
        <v/>
      </c>
      <c r="H171" s="82" t="str">
        <f>IF(F161="oui","",IF(AND(AND(F159&gt;=35,F159&lt;=39),F160="oui",F163="non"),H166-(F158*4),IF(AND(AND(F159&gt;=35,F159&lt;=39),F160="oui",F163="oui"),H167-(F158*4),"")))</f>
        <v/>
      </c>
      <c r="I171"/>
      <c r="J171" s="67" t="s">
        <v>264</v>
      </c>
      <c r="K171" s="60">
        <v>1</v>
      </c>
      <c r="L171" s="61" t="str">
        <f t="shared" si="35"/>
        <v/>
      </c>
      <c r="M171" s="61" t="str">
        <f>IF(N171="","",N171*L162)</f>
        <v/>
      </c>
      <c r="N171" s="68" t="str">
        <f>IF(L161="oui","",IF(AND(L159&gt;=35,L159&lt;=39,L160="oui",L163="non"),((L156-L157)*2),IF(AND(AND(L159&gt;=33,L159&lt;=37),L160="oui",L163="oui"),((L156-L158)*2),"")))</f>
        <v/>
      </c>
    </row>
    <row r="172" spans="3:14">
      <c r="C172" s="67" t="s">
        <v>265</v>
      </c>
      <c r="D172" s="60">
        <v>1</v>
      </c>
      <c r="E172" s="102" t="str">
        <f t="shared" si="32"/>
        <v/>
      </c>
      <c r="F172" s="76" t="str">
        <f t="shared" si="33"/>
        <v/>
      </c>
      <c r="G172" s="201" t="str">
        <f t="shared" si="36"/>
        <v/>
      </c>
      <c r="H172" s="82" t="str">
        <f>IF(F161="oui","",IF(AND(AND(F159&gt;=40,F159&lt;=44),F160="oui",F163="non"),H166-(F158*4),IF(AND(AND(F159&gt;=40,F159&lt;=44),F160="oui",F163="oui"),H167-(F158*4),"")))</f>
        <v/>
      </c>
      <c r="I172"/>
      <c r="J172" s="67" t="s">
        <v>265</v>
      </c>
      <c r="K172" s="60">
        <v>1</v>
      </c>
      <c r="L172" s="61" t="str">
        <f t="shared" si="35"/>
        <v/>
      </c>
      <c r="M172" s="61" t="str">
        <f>IF(N172="","",N172*L162)</f>
        <v/>
      </c>
      <c r="N172" s="68" t="str">
        <f>IF(L161="oui","",IF(AND(L159&gt;=40,L159&lt;=44,L160="oui",L163="non"),((L156-L157)*2),IF(AND(AND(L159&gt;=38,L159&lt;=42),L160="oui",L163="oui"),((L156-L158)*2),"")))</f>
        <v/>
      </c>
    </row>
    <row r="173" spans="3:14">
      <c r="C173" s="67" t="s">
        <v>266</v>
      </c>
      <c r="D173" s="60">
        <v>1</v>
      </c>
      <c r="E173" s="102" t="str">
        <f t="shared" si="32"/>
        <v/>
      </c>
      <c r="F173" s="76" t="str">
        <f t="shared" si="33"/>
        <v/>
      </c>
      <c r="G173" s="201" t="str">
        <f t="shared" si="36"/>
        <v/>
      </c>
      <c r="H173" s="82" t="str">
        <f>IF(F161="oui","",IF(AND(AND(F159&gt;=45,F159&lt;=49),F160="oui",F163="non"),H166-(F158*4),IF(AND(AND(F159&gt;=45,F159&lt;=49),F160="oui",F163="oui"),H167-(F158*4),"")))</f>
        <v/>
      </c>
      <c r="I173"/>
      <c r="J173" s="67" t="s">
        <v>266</v>
      </c>
      <c r="K173" s="60">
        <v>1</v>
      </c>
      <c r="L173" s="61" t="str">
        <f t="shared" si="35"/>
        <v/>
      </c>
      <c r="M173" s="61" t="str">
        <f>IF(N173="","",N173*L162)</f>
        <v/>
      </c>
      <c r="N173" s="68" t="str">
        <f>IF(L161="oui","",IF(AND(L159&gt;=45,L159&lt;=49,L160="oui",L163="non"),((L156-L157)*2),IF(AND(AND(L159&gt;=43,L159&lt;=47),L160="oui",L163="oui"),((L156-L158)*2),"")))</f>
        <v/>
      </c>
    </row>
    <row r="174" spans="3:14" ht="15" thickBot="1">
      <c r="C174" s="69" t="s">
        <v>267</v>
      </c>
      <c r="D174" s="70">
        <v>1</v>
      </c>
      <c r="E174" s="104" t="str">
        <f t="shared" si="32"/>
        <v/>
      </c>
      <c r="F174" s="83" t="str">
        <f t="shared" si="33"/>
        <v/>
      </c>
      <c r="G174" s="201" t="str">
        <f t="shared" si="36"/>
        <v/>
      </c>
      <c r="H174" s="85" t="str">
        <f>IF(F161="oui","",IF(AND(F159=50,F160="oui",F163="non"),H166-(F158*4),IF(AND(F159=50,F160="oui",F163="oui"),H167-(F158*4),"")))</f>
        <v/>
      </c>
      <c r="I174"/>
      <c r="J174" s="69" t="s">
        <v>267</v>
      </c>
      <c r="K174" s="70">
        <v>1</v>
      </c>
      <c r="L174" s="71" t="str">
        <f t="shared" si="35"/>
        <v/>
      </c>
      <c r="M174" s="71" t="str">
        <f>IF(N174="","",N174*L162)</f>
        <v/>
      </c>
      <c r="N174" s="72" t="str">
        <f>IF(L161="oui","",IF(AND(L159=50,L160="oui",L163="non"),((L156-L157)*2),IF(AND(AND(L159&gt;=48,L159&lt;=50),L160="oui",L163="oui"),((L156-L158)*2),"")))</f>
        <v/>
      </c>
    </row>
    <row r="175" spans="3:14">
      <c r="C175" s="63" t="s">
        <v>40</v>
      </c>
      <c r="D175" s="64">
        <v>1</v>
      </c>
      <c r="E175" s="103" t="str">
        <f t="shared" si="32"/>
        <v/>
      </c>
      <c r="F175" s="79" t="str">
        <f t="shared" si="33"/>
        <v/>
      </c>
      <c r="G175" s="80" t="str">
        <f>IF(H175="","",H175*$F$14)</f>
        <v/>
      </c>
      <c r="H175" s="81" t="str">
        <f>IF(F161="oui","",IF(AND(OR(F159=30,F159=31),F160="non",F163="non"),H166-(F158*4),IF(AND(OR(F159=30,F159=31),F160="non",F163="oui"),H167-(F158*4),"")))</f>
        <v/>
      </c>
      <c r="I175"/>
      <c r="J175" s="63" t="s">
        <v>40</v>
      </c>
      <c r="K175" s="64">
        <v>1</v>
      </c>
      <c r="L175" s="65" t="str">
        <f t="shared" si="35"/>
        <v/>
      </c>
      <c r="M175" s="65" t="str">
        <f>IF(N175="","",N175*L162)</f>
        <v/>
      </c>
      <c r="N175" s="66" t="str">
        <f>IF(AND(OR(L159=30,L159=31),L160="non",L163="non"),((L156-L157)*2),"")</f>
        <v/>
      </c>
    </row>
    <row r="176" spans="3:14">
      <c r="C176" s="67" t="s">
        <v>41</v>
      </c>
      <c r="D176" s="60">
        <v>1</v>
      </c>
      <c r="E176" s="102" t="str">
        <f t="shared" si="32"/>
        <v/>
      </c>
      <c r="F176" s="76" t="str">
        <f t="shared" si="33"/>
        <v/>
      </c>
      <c r="G176" s="75" t="str">
        <f t="shared" ref="G176:G179" si="37">IF(H176="","",H176*$F$14)</f>
        <v/>
      </c>
      <c r="H176" s="82" t="str">
        <f>IF(F161="oui","",IF(AND(AND(F159&gt;=32,F159&lt;=36),F160="non",F163="non"),H166-(F158*4),IF(AND(AND(F159&gt;=32,F159&lt;=36),F160="non",F163="oui"),H167-(F158*4),"")))</f>
        <v/>
      </c>
      <c r="I176"/>
      <c r="J176" s="67" t="s">
        <v>41</v>
      </c>
      <c r="K176" s="60">
        <v>1</v>
      </c>
      <c r="L176" s="61" t="str">
        <f t="shared" si="35"/>
        <v/>
      </c>
      <c r="M176" s="61" t="str">
        <f>IF(N176="","",N176*L162)</f>
        <v/>
      </c>
      <c r="N176" s="68" t="str">
        <f>IF(L161="oui","",IF(AND(L159&gt;=32,L159&lt;=36,L160="non",L163="non"),((L156-L157)*2),IF(AND(AND(L159&gt;=30,L159&lt;=34),L160="non",L163="oui"),((L156-L158)*2),"")))</f>
        <v/>
      </c>
    </row>
    <row r="177" spans="3:14">
      <c r="C177" s="67" t="s">
        <v>42</v>
      </c>
      <c r="D177" s="60">
        <v>1</v>
      </c>
      <c r="E177" s="102" t="str">
        <f t="shared" si="32"/>
        <v/>
      </c>
      <c r="F177" s="76" t="str">
        <f t="shared" si="33"/>
        <v/>
      </c>
      <c r="G177" s="75" t="str">
        <f t="shared" si="37"/>
        <v/>
      </c>
      <c r="H177" s="82" t="str">
        <f>IF(F161="oui","",IF(AND(AND(F159&gt;=37,F159&lt;=41),F160="non",F163="non"),H166-(F158*4),IF(AND(AND(F159&gt;=37,F159&lt;=41),F160="non",F163="oui"),H167-(F158*4),"")))</f>
        <v/>
      </c>
      <c r="I177"/>
      <c r="J177" s="67" t="s">
        <v>42</v>
      </c>
      <c r="K177" s="60">
        <v>1</v>
      </c>
      <c r="L177" s="61" t="str">
        <f t="shared" si="35"/>
        <v/>
      </c>
      <c r="M177" s="61" t="str">
        <f>IF(N177="","",N177*L162)</f>
        <v/>
      </c>
      <c r="N177" s="68" t="str">
        <f>IF(L161="oui","",IF(AND(L159&gt;=37,L159&lt;=41,L160="non",L163="non"),((L156-L157)*2),IF(AND(AND(L159&gt;=35,L159&lt;=39),L160="non",L163="oui"),((L156-L158)*2),"")))</f>
        <v/>
      </c>
    </row>
    <row r="178" spans="3:14">
      <c r="C178" s="67" t="s">
        <v>43</v>
      </c>
      <c r="D178" s="60">
        <v>1</v>
      </c>
      <c r="E178" s="102" t="str">
        <f t="shared" si="32"/>
        <v/>
      </c>
      <c r="F178" s="76" t="str">
        <f t="shared" si="33"/>
        <v/>
      </c>
      <c r="G178" s="75" t="str">
        <f t="shared" si="37"/>
        <v/>
      </c>
      <c r="H178" s="82" t="str">
        <f>IF(F161="oui","",IF(AND(AND(F159&gt;=42,F159&lt;=46),F160="non",F163="non"),H166-(F158*4),IF(AND(AND(F159&gt;=42,F159&lt;=46),F160="non",F163="oui"),H167-(F158*4),"")))</f>
        <v/>
      </c>
      <c r="I178"/>
      <c r="J178" s="67" t="s">
        <v>43</v>
      </c>
      <c r="K178" s="60">
        <v>1</v>
      </c>
      <c r="L178" s="61" t="str">
        <f t="shared" si="35"/>
        <v/>
      </c>
      <c r="M178" s="61" t="str">
        <f>IF(N178="","",N178*L162)</f>
        <v/>
      </c>
      <c r="N178" s="68" t="str">
        <f>IF(L161="oui","",IF(AND(L159&gt;=42,L159&lt;=46,L160="non",L163="non"),((L156-L157)*2),IF(AND(AND(L159&gt;=40,L159&lt;=44),L160="non",L163="oui"),((L156-L158)*2),"")))</f>
        <v/>
      </c>
    </row>
    <row r="179" spans="3:14" ht="15" thickBot="1">
      <c r="C179" s="69" t="s">
        <v>44</v>
      </c>
      <c r="D179" s="70">
        <v>1</v>
      </c>
      <c r="E179" s="104" t="str">
        <f t="shared" si="32"/>
        <v/>
      </c>
      <c r="F179" s="86" t="str">
        <f t="shared" si="33"/>
        <v/>
      </c>
      <c r="G179" s="84" t="str">
        <f t="shared" si="37"/>
        <v/>
      </c>
      <c r="H179" s="85" t="str">
        <f>IF(F161="oui","",IF(AND(AND(F159&gt;=47,F159&lt;=50),F160="non",F163="non"),H166-(F158*4),IF(AND(AND(F159&gt;=47,F159&lt;=50),F160="non",F163="oui"),H167-(F158*4),"")))</f>
        <v/>
      </c>
      <c r="I179"/>
      <c r="J179" s="69" t="s">
        <v>44</v>
      </c>
      <c r="K179" s="70">
        <v>1</v>
      </c>
      <c r="L179" s="71" t="str">
        <f t="shared" si="35"/>
        <v/>
      </c>
      <c r="M179" s="71" t="str">
        <f>IF(N179="","",N179*L162)</f>
        <v/>
      </c>
      <c r="N179" s="72" t="str">
        <f>IF(L161="oui","",IF(AND(L159&gt;=47,L159&lt;=50,L160="non",L163="non"),((L156-L157)*2),IF(AND(AND(L159&gt;=45,L159&lt;=50),L160="non",L163="oui"),((L156-L158)*2),"")))</f>
        <v/>
      </c>
    </row>
    <row r="180" spans="3:14">
      <c r="C180" s="63" t="s">
        <v>45</v>
      </c>
      <c r="D180" s="64">
        <v>1</v>
      </c>
      <c r="E180" s="103">
        <f t="shared" si="32"/>
        <v>0</v>
      </c>
      <c r="F180" s="87">
        <f t="shared" si="33"/>
        <v>0</v>
      </c>
      <c r="G180" s="80">
        <f>IF(H180="","",H180*$F$14)</f>
        <v>0</v>
      </c>
      <c r="H180" s="88">
        <f>IF(AND(OR(F159=30,F159=31),H166&lt;&gt;"",H169&lt;&gt;""),H166-H169,IF(AND(OR(F159=30,F159=31),H167&lt;&gt;"",H169&lt;&gt;""),H167-H169,IF(AND(OR(F159=30,F159=31),F160="oui",F163="non"),H166-H170,IF(AND(OR(F159=30,F159=31),F160="non",F163="non"),H166-H175,IF(AND(OR(F159=30,F159=31),F160="oui",F163="oui"),H167-H170,IF(AND(OR(F159=30,F159=31),F160="non",F163="oui"),H167-H175,""))))))</f>
        <v>0</v>
      </c>
      <c r="I180"/>
      <c r="J180" s="63" t="s">
        <v>45</v>
      </c>
      <c r="K180" s="64">
        <v>1</v>
      </c>
      <c r="L180" s="65" t="str">
        <f t="shared" si="35"/>
        <v/>
      </c>
      <c r="M180" s="65" t="str">
        <f>IF(N180="","",N180*L162)</f>
        <v/>
      </c>
      <c r="N180" s="66" t="str">
        <f>IF(AND(OR(L159=30,L159=31),L161="oui",L163="non"),N166-N169,IF(AND(OR(L159=30,L159=31),L160="oui",L163="oui"),N166-N170,IF(AND(OR(L159=30,L159=31),L160="non",L163="oui"),N166-N176,IF(AND(OR(L159=30,L159=31),L160="oui",L163="non"),N166-N170,IF(AND(OR(L159=30,L159=31),L160="non",L163="non"),N166-N175,"")))))</f>
        <v/>
      </c>
    </row>
    <row r="181" spans="3:14">
      <c r="C181" s="67" t="s">
        <v>46</v>
      </c>
      <c r="D181" s="60">
        <v>1</v>
      </c>
      <c r="E181" s="102" t="str">
        <f t="shared" si="32"/>
        <v/>
      </c>
      <c r="F181" s="76" t="str">
        <f t="shared" si="33"/>
        <v/>
      </c>
      <c r="G181" s="75" t="str">
        <f t="shared" ref="G181:G188" si="38">IF(H181="","",H181*$F$14)</f>
        <v/>
      </c>
      <c r="H181" s="82" t="str">
        <f>IF(AND(OR(F159=32,F159=33),H166&lt;&gt;"",H169&lt;&gt;""),H166-H169,IF(AND(OR(F159=32,F159=33),H167&lt;&gt;"",H169&lt;&gt;""),H167-H169,IF(AND(OR(F159=32,F159=33),F160="oui",F163="non"),H166-H170,IF(AND(OR(F159=32,F159=33),F160="non",F163="non"),H166-H176,IF(AND(OR(F159=32,F159=33),F160="oui",F163="oui"),H167-H170,IF(AND(OR(F159=32,F159=33),F160="non",F163="oui"),H167-H176,""))))))</f>
        <v/>
      </c>
      <c r="I181"/>
      <c r="J181" s="67" t="s">
        <v>46</v>
      </c>
      <c r="K181" s="60">
        <v>1</v>
      </c>
      <c r="L181" s="61" t="str">
        <f t="shared" si="35"/>
        <v/>
      </c>
      <c r="M181" s="61" t="str">
        <f>IF(N181="","",N181*L162)</f>
        <v/>
      </c>
      <c r="N181" s="68" t="str">
        <f>IF(AND(OR(L159=32,L159=33),L161="oui",L163="non"),N166-N169,IF(AND(L159=32,L160="oui",L163="oui"),N166-N170,IF(AND(L159=33,L160="oui",L163="oui"),N166-N171,IF(AND(OR(L159=32,L159=33),L160="non",L163="oui"),N166-N176,IF(AND(OR(L159=32,L159=33),L160="oui",L163="non"),N166-N170,IF(AND(OR(L159=32,L159=33),L160="non",L163="non"),N166-N176,""))))))</f>
        <v/>
      </c>
    </row>
    <row r="182" spans="3:14">
      <c r="C182" s="67" t="s">
        <v>47</v>
      </c>
      <c r="D182" s="60">
        <v>1</v>
      </c>
      <c r="E182" s="102" t="str">
        <f t="shared" si="32"/>
        <v/>
      </c>
      <c r="F182" s="76" t="str">
        <f>IF(H182="","",ROUNDUP(H182+G182,0))</f>
        <v/>
      </c>
      <c r="G182" s="75" t="str">
        <f t="shared" si="38"/>
        <v/>
      </c>
      <c r="H182" s="82" t="str">
        <f>IF(AND(OR(F159=34,F159=35),H166&lt;&gt;"",H169&lt;&gt;""),H166-H169,IF(AND(OR(F159=34,F159=35),H167&lt;&gt;"",H169&lt;&gt;""),H167-H169,IF(AND(F159=34,F160="oui",F163="non"),H166-H170,IF(AND(F159=35,F160="oui",F163="non"),H166-H171,IF(AND(OR(F159=34,F159=35),F160="non",F163="non"),H166-H176,IF(AND(F159=34,F160="oui",F163="oui"),H167-H170,IF(AND(F159=35,F160="oui",F163="oui"),H167-H171,IF(AND(OR(F159=34,F159=35),F160="non",F163="oui"),H167-H176,""))))))))</f>
        <v/>
      </c>
      <c r="I182"/>
      <c r="J182" s="67" t="s">
        <v>47</v>
      </c>
      <c r="K182" s="60">
        <v>1</v>
      </c>
      <c r="L182" s="61" t="str">
        <f t="shared" si="35"/>
        <v/>
      </c>
      <c r="M182" s="61" t="str">
        <f>IF(N182="","",N182*L162)</f>
        <v/>
      </c>
      <c r="N182" s="68" t="str">
        <f>IF(AND(OR(L159=34,L159=35),L161="oui",L163="non"),N166-N169,IF(AND(OR(L159=34,L159=35),L160="oui",L163="oui"),N166-N171,IF(AND(L159=34,L160="non",L163="oui"),N166-N176,IF(AND(L159=35,L160="non",L163="oui"),N166-N177,IF(AND(L159=34,L160="oui",L163="non"),N166-N170,IF(AND(L159=35,L160="oui",L163="non"),N166-N171,IF(AND(OR(L159=34,L159=35),L160="non",L163="non"),N166-N176,"")))))))</f>
        <v/>
      </c>
    </row>
    <row r="183" spans="3:14">
      <c r="C183" s="67" t="s">
        <v>48</v>
      </c>
      <c r="D183" s="60">
        <v>1</v>
      </c>
      <c r="E183" s="102" t="str">
        <f t="shared" si="32"/>
        <v/>
      </c>
      <c r="F183" s="76" t="str">
        <f t="shared" ref="F183:F188" si="39">IF(H183="","",ROUNDUP(H183+G183,0))</f>
        <v/>
      </c>
      <c r="G183" s="75" t="str">
        <f t="shared" si="38"/>
        <v/>
      </c>
      <c r="H183" s="82" t="str">
        <f>IF(AND(OR(F159=36,F159=37),H166&lt;&gt;"",H169&lt;&gt;""),H166-H169,IF(AND(OR(F159=36,F159=37),H167&lt;&gt;"",H169&lt;&gt;""),H167-H169,IF(AND(F159=36,F160="oui",F163="non"),H166-H171,IF(AND(F159=36,F160="non",F163="non"),H166-H176,IF(AND(F159=37,F160="oui",F163="non"),H166-H171,IF(AND(F159=37,F160="non",F163="non"),H166-H177,IF(AND(F159=36,F160="oui",F163="oui"),H167-H171,IF(AND(F159=36,F160="non",F163="oui"),H167-H176,IF(AND(F159=37,F160="oui",F163="oui"),H167-H171,IF(AND(F159=37,F160="non",F163="oui"),H167-H177,""))))))))))</f>
        <v/>
      </c>
      <c r="I183"/>
      <c r="J183" s="67" t="s">
        <v>48</v>
      </c>
      <c r="K183" s="60">
        <v>1</v>
      </c>
      <c r="L183" s="61" t="str">
        <f t="shared" si="35"/>
        <v/>
      </c>
      <c r="M183" s="61" t="str">
        <f>IF(N183="","",N183*L162)</f>
        <v/>
      </c>
      <c r="N183" s="68" t="str">
        <f>IF(AND(OR(L159=36,L159=37),L161="oui",L163="non"),N166-N169,IF(AND(OR(L159=36,L159=37),L160="oui",L163="oui"),N166-N171,IF(AND(OR(L159=36,L159=37),L160="non",L163="oui"),N166-N177,IF(AND(OR(L159=36,L159=37),L160="oui",L163="non"),N166-N171,IF(AND(L159=36,L160="non",L163="non"),N166-N176,IF(AND(L159=37,L160="non",L163="non"),N166-N177,""))))))</f>
        <v/>
      </c>
    </row>
    <row r="184" spans="3:14">
      <c r="C184" s="67" t="s">
        <v>49</v>
      </c>
      <c r="D184" s="60">
        <v>1</v>
      </c>
      <c r="E184" s="102" t="str">
        <f t="shared" si="32"/>
        <v/>
      </c>
      <c r="F184" s="76" t="str">
        <f t="shared" si="39"/>
        <v/>
      </c>
      <c r="G184" s="75" t="str">
        <f t="shared" si="38"/>
        <v/>
      </c>
      <c r="H184" s="82" t="str">
        <f>IF(AND(OR(F159=38,F159=39),H166&lt;&gt;"",H169&lt;&gt;""),H166-H169,IF(AND(OR(F159=36,F159=37),H167&lt;&gt;"",H169&lt;&gt;""),H167-H169,IF(AND(OR(F159=38,F159=39),F160="oui",F163="non"),H166-H171,IF(AND(OR(F159=38,F159=39),F160="non",F163="non"),H166-H177,IF(AND(OR(F159=38,F159=39),F160="oui",F163="oui"),H167-H171,IF(AND(OR(F159=38,F159=39),F160="non",F163="oui"),H167-H177,""))))))</f>
        <v/>
      </c>
      <c r="I184"/>
      <c r="J184" s="67" t="s">
        <v>49</v>
      </c>
      <c r="K184" s="60">
        <v>1</v>
      </c>
      <c r="L184" s="61" t="str">
        <f t="shared" si="35"/>
        <v/>
      </c>
      <c r="M184" s="61" t="str">
        <f>IF(N184="","",N184*L162)</f>
        <v/>
      </c>
      <c r="N184" s="68" t="str">
        <f>IF(AND(OR(L159=38,L159=39),L161="oui",L163="non"),N166-N169,IF(AND(OR(L159=38,L159=39),L160="oui",L163="oui"),N166-N172,IF(AND(OR(L159=38,L159=39),L160="non",L163="oui"),N166-N177,IF(AND(OR(L159=38,L159=39),L160="oui",L163="non"),N166-N171,IF(AND(OR(L159=38,L159=39),L160="non",L163="non"),N166-N177,"")))))</f>
        <v/>
      </c>
    </row>
    <row r="185" spans="3:14">
      <c r="C185" s="67" t="s">
        <v>50</v>
      </c>
      <c r="D185" s="60">
        <v>1</v>
      </c>
      <c r="E185" s="102" t="str">
        <f t="shared" si="32"/>
        <v/>
      </c>
      <c r="F185" s="76" t="str">
        <f t="shared" si="39"/>
        <v/>
      </c>
      <c r="G185" s="75" t="str">
        <f t="shared" si="38"/>
        <v/>
      </c>
      <c r="H185" s="82" t="str">
        <f>IF(AND(OR(F159=40,F159=41),H166&lt;&gt;"",H169&lt;&gt;""),H166-H169,IF(AND(OR(F159=40,F159=41),H167&lt;&gt;"",H169&lt;&gt;""),H167-H169,IF(AND(OR(F159=40,F159=41),F160="oui",F163="non"),H166-H172,IF(AND(OR(F159=40,F159=41),F160="non",F163="non"),H166-H177,IF(AND(OR(F159=40,F159=41),F160="oui",F163="oui"),H167-H172,IF(AND(OR(F159=40,F159=41),F160="non",F163="oui"),H167-H177,""))))))</f>
        <v/>
      </c>
      <c r="I185"/>
      <c r="J185" s="67" t="s">
        <v>50</v>
      </c>
      <c r="K185" s="60">
        <v>1</v>
      </c>
      <c r="L185" s="61" t="str">
        <f t="shared" si="35"/>
        <v/>
      </c>
      <c r="M185" s="61" t="str">
        <f>IF(N185="","",N185*L162)</f>
        <v/>
      </c>
      <c r="N185" s="68" t="str">
        <f>IF(AND(OR(L159=40,L159=41),L161="oui",L163="non"),N166-N169,IF(AND(OR(L159=40,L159=41),L160="oui",L163="oui"),N166-N172,IF(AND(OR(L159=40,L159=41),L160="non",L163="oui"),N166-N178,IF(AND(OR(L159=40,L159=41),L160="oui",L163="non"),N166-N172,IF(AND(OR(L159=40,L159=41),L160="non",L163="non"),N166-N177,"")))))</f>
        <v/>
      </c>
    </row>
    <row r="186" spans="3:14">
      <c r="C186" s="67" t="s">
        <v>51</v>
      </c>
      <c r="D186" s="60">
        <v>1</v>
      </c>
      <c r="E186" s="102" t="str">
        <f t="shared" si="32"/>
        <v/>
      </c>
      <c r="F186" s="76" t="str">
        <f t="shared" si="39"/>
        <v/>
      </c>
      <c r="G186" s="75" t="str">
        <f t="shared" si="38"/>
        <v/>
      </c>
      <c r="H186" s="82" t="str">
        <f>IF(AND(OR(F159=42,F159=43,F159=44),H166&lt;&gt;"",H169&lt;&gt;""),H166-H169,IF(AND(OR(F159=42,F159=43,F159=44),H167&lt;&gt;"",H169&lt;&gt;""),H167-H169,IF(AND(AND(F159&gt;=42,F159&lt;=44),F160="oui",F163="non"),H166-H172,IF(AND(AND(F159&gt;=42,F159&lt;=44),F160="non",F163="non"),H166-H178,IF(AND(AND(F159&gt;=42,F159&lt;=44),F160="oui",F163="oui"),H167-H172,IF(AND(AND(F159&gt;=42,F159&lt;=44),F160="non",F163="oui"),H167-H178,""))))))</f>
        <v/>
      </c>
      <c r="I186"/>
      <c r="J186" s="67" t="s">
        <v>51</v>
      </c>
      <c r="K186" s="60">
        <v>1</v>
      </c>
      <c r="L186" s="61" t="str">
        <f t="shared" si="35"/>
        <v/>
      </c>
      <c r="M186" s="61" t="str">
        <f>IF(N186="","",N186*L162)</f>
        <v/>
      </c>
      <c r="N186" s="68" t="str">
        <f>IF(AND(OR(L159=42,L159=43,L159=44),L161="oui",L163="non"),N166-N169,IF(AND(L159=42,L160="oui",L163="oui"),N166-N172,IF(AND(OR(L159=42,L159=43),L160="oui",L163="oui"),N166-N173,IF(AND(OR(L159=42,L159=43,L159=44),L160="non",L163="oui"),N166-N178,IF(AND(OR(L159=42,L159=43,L159=44),L160="oui",L163="non"),N166-N172,IF(AND(OR(L159=42,L159=43,L159=44),L160="non",L163="non"),N166-N178,""))))))</f>
        <v/>
      </c>
    </row>
    <row r="187" spans="3:14">
      <c r="C187" s="67" t="s">
        <v>52</v>
      </c>
      <c r="D187" s="60">
        <v>1</v>
      </c>
      <c r="E187" s="105" t="str">
        <f t="shared" si="32"/>
        <v/>
      </c>
      <c r="F187" s="83" t="str">
        <f t="shared" si="39"/>
        <v/>
      </c>
      <c r="G187" s="75" t="str">
        <f t="shared" si="38"/>
        <v/>
      </c>
      <c r="H187" s="82" t="str">
        <f>IF(AND(OR(F159=45,F159=46,F159=47,F159=48,F159=49),H166&lt;&gt;"",H169&lt;&gt;""),H166-H169,IF(AND(OR(F159=45,F159=46,F159=47,F159=48,F159=49),H167&lt;&gt;"",H169&lt;&gt;""),H167-H169,IF(AND(OR(F159=45,F159=46),F160="oui",F163="non"),H166-H173,IF(AND(OR(F159=45,F159=46),F160="non",F163="non"),H166-H178,IF(AND(AND(F159&gt;=47,F159&lt;=49),F160="oui",F163="non"),H166-H173,IF(AND(AND(F159&gt;=47,F159&lt;=49),F160="non",F163="non"),H166-H179,IF(AND(OR(F159=45,F159=46),F160="oui",F163="oui"),H167-H173,IF(AND(OR(F159=45,F159=46),F160="non",F163="oui"),H167-H178,IF(AND(AND(F159&gt;=47,F159&lt;=49),F160="oui",F163="oui"),H167-H173,IF(AND(AND(F159&gt;=47,F159&lt;=49),F160="non",F163="oui"),H167-H179,""))))))))))</f>
        <v/>
      </c>
      <c r="I187"/>
      <c r="J187" s="67" t="s">
        <v>52</v>
      </c>
      <c r="K187" s="60">
        <v>1</v>
      </c>
      <c r="L187" s="61" t="str">
        <f t="shared" si="35"/>
        <v/>
      </c>
      <c r="M187" s="61" t="str">
        <f>IF(N187="","",N187*L162)</f>
        <v/>
      </c>
      <c r="N187" s="68" t="str">
        <f>IF(AND(AND(L159&gt;=45,L159&lt;=49),L161="oui",L163="non"),N166-N169,IF(AND(OR(L159=45,L159=46,L159=47),L160="oui",L163="oui"),N166-N173,IF(AND(OR(L159=48,L159=49),L160="oui",L163="oui"),N166-N174,IF(AND(AND(L159&gt;=45,L159&lt;=49),L160="non",L163="oui"),N166-N179,IF(AND(AND(L159&gt;=45,L159&lt;=49),L160="oui",L163="non"),N166-N173,IF(AND(OR(L159=45,L159=46),L160="non",L163="non"),N166-N178,IF(AND(AND(L159&gt;=47,L159&lt;=49),L160="non",L163="non"),N166-N179,"")))))))</f>
        <v/>
      </c>
    </row>
    <row r="188" spans="3:14" ht="15" thickBot="1">
      <c r="C188" s="69" t="s">
        <v>53</v>
      </c>
      <c r="D188" s="70">
        <v>1</v>
      </c>
      <c r="E188" s="104" t="str">
        <f t="shared" si="32"/>
        <v/>
      </c>
      <c r="F188" s="86" t="str">
        <f t="shared" si="39"/>
        <v/>
      </c>
      <c r="G188" s="84" t="str">
        <f t="shared" si="38"/>
        <v/>
      </c>
      <c r="H188" s="85" t="str">
        <f>IF(AND(F159=50,H166&lt;&gt;"",H169&lt;&gt;""),H166-H169,IF(AND(F159=50,H167&lt;&gt;"",H169&lt;&gt;""),H167-H169,IF(AND(F159=50,F160="oui",F163="non"),H166-H174,IF(AND(F159=50,F160="non",F163="non"),H166-H179,IF(AND(F159=50,F160="oui",F163="oui"),H167-H174,IF(AND(F159=50,F160="non",F163="oui"),H167-H179,""))))))</f>
        <v/>
      </c>
      <c r="I188"/>
      <c r="J188" s="69" t="s">
        <v>53</v>
      </c>
      <c r="K188" s="70">
        <v>1</v>
      </c>
      <c r="L188" s="71" t="str">
        <f t="shared" si="35"/>
        <v/>
      </c>
      <c r="M188" s="71" t="str">
        <f>IF(N188="","",N188*L162)</f>
        <v/>
      </c>
      <c r="N188" s="236" t="str">
        <f>IF(AND(L159=50,L161="oui",L163="non"),N166-N169,IF(AND(L159=50,L160="oui",L163="oui"),N166-N174,IF(AND(L159=50,L160="non",L163="oui"),N166-N179,IF(AND(L159=50,L160="oui",L163="non"),N166-N174,IF(AND(L159=50,L160="non",L163="non"),N166-N179,"")))))</f>
        <v/>
      </c>
    </row>
    <row r="189" spans="3:14" ht="15" thickBot="1">
      <c r="C189" s="205" t="s">
        <v>105</v>
      </c>
      <c r="D189" s="206">
        <v>1</v>
      </c>
      <c r="E189" s="207">
        <f t="shared" si="32"/>
        <v>0</v>
      </c>
      <c r="F189" s="197">
        <f>IF(H189="","",ROUNDUP(H189+G189,0))</f>
        <v>0</v>
      </c>
      <c r="G189" s="197">
        <f>IF(H189="","",H189*$F$14)</f>
        <v>0</v>
      </c>
      <c r="H189" s="197">
        <f>IF(F158="","",(IF(OR(F159=30,F159=31),F180/2, IF(OR(F159=32,F159=33),F181/2,IF(OR(F159=34,F159=35),F182/2,IF(OR(F159=36,F159=37),F183/2,IF(OR(F159=38,F159=39),F184/2,IF(OR(F159=40,F159=41),F185/2,IF(OR(F159=42,F159=43,F159=44),F186/2,IF(OR(F159=45,F159=46,F159=47,F159=48,F159=49),F187/2,IF(F159=50,F188/2)))))))))))</f>
        <v>0</v>
      </c>
      <c r="I189"/>
      <c r="J189" s="205" t="s">
        <v>105</v>
      </c>
      <c r="K189" s="206">
        <v>1</v>
      </c>
      <c r="L189" s="197" t="str">
        <f>IF(N189="","",ROUNDUP(N189+M189,0))</f>
        <v/>
      </c>
      <c r="M189" s="197" t="str">
        <f>IF(N189="","",N189*$F$14)</f>
        <v/>
      </c>
      <c r="N189" s="197" t="str">
        <f>IF(L158="","",(IF(L163="oui",L156,(IF(OR(L159=30,L159=31),L180/2, IF(OR(L159=32,L159=33),L181/2,IF(OR(L159=34,L159=35),L182/2,IF(OR(L159=36,L159=37),L183/2,IF(OR(L159=38,L159=39),L184/2,IF(OR(L159=40,L159=41),L185/2,IF(OR(L159=42,L159=43,L159=44),L186/2,IF(OR(L159=45,L159=46,L159=47,L159=48,L159=49),L187/2,IF(L159=50,L188/2)))))))))))))</f>
        <v/>
      </c>
    </row>
    <row r="190" spans="3:14" ht="15" thickBot="1"/>
    <row r="191" spans="3:14" ht="15" thickBot="1">
      <c r="C191" s="337" t="s">
        <v>198</v>
      </c>
      <c r="D191" s="338"/>
      <c r="E191" s="338"/>
      <c r="F191" s="339"/>
      <c r="J191" s="337" t="s">
        <v>199</v>
      </c>
      <c r="K191" s="338"/>
      <c r="L191" s="339"/>
    </row>
    <row r="192" spans="3:14">
      <c r="C192" s="340" t="s">
        <v>15</v>
      </c>
      <c r="D192" s="340"/>
      <c r="E192" s="175"/>
      <c r="F192" s="101" t="s">
        <v>25</v>
      </c>
      <c r="G192" s="176"/>
      <c r="H192" s="40"/>
      <c r="J192" s="341" t="s">
        <v>128</v>
      </c>
      <c r="K192" s="341"/>
      <c r="L192" s="177" t="s">
        <v>25</v>
      </c>
      <c r="M192" s="178"/>
      <c r="N192" s="178"/>
    </row>
    <row r="193" spans="3:14">
      <c r="C193" s="336" t="s">
        <v>26</v>
      </c>
      <c r="D193" s="336"/>
      <c r="E193" s="179"/>
      <c r="F193" s="14">
        <v>0</v>
      </c>
      <c r="G193" s="19"/>
      <c r="H193" s="180"/>
      <c r="J193" s="336" t="s">
        <v>26</v>
      </c>
      <c r="K193" s="336"/>
      <c r="L193" s="42"/>
      <c r="M193" s="181"/>
      <c r="N193" s="182"/>
    </row>
    <row r="194" spans="3:14" ht="14.25" customHeight="1">
      <c r="C194" s="336" t="s">
        <v>27</v>
      </c>
      <c r="D194" s="336"/>
      <c r="E194" s="179"/>
      <c r="F194" s="14">
        <v>0</v>
      </c>
      <c r="G194" s="19"/>
      <c r="H194" s="180"/>
      <c r="J194" s="336" t="s">
        <v>27</v>
      </c>
      <c r="K194" s="336"/>
      <c r="L194" s="42"/>
      <c r="M194" s="181"/>
      <c r="N194" s="182"/>
    </row>
    <row r="195" spans="3:14">
      <c r="C195" s="336" t="s">
        <v>28</v>
      </c>
      <c r="D195" s="336"/>
      <c r="E195" s="179"/>
      <c r="F195" s="14">
        <v>0</v>
      </c>
      <c r="G195" s="19"/>
      <c r="H195" s="180"/>
      <c r="J195" s="336" t="s">
        <v>28</v>
      </c>
      <c r="K195" s="336"/>
      <c r="L195" s="42"/>
      <c r="M195" s="181"/>
      <c r="N195" s="182"/>
    </row>
    <row r="196" spans="3:14">
      <c r="C196" s="336" t="s">
        <v>29</v>
      </c>
      <c r="D196" s="336"/>
      <c r="E196" s="179"/>
      <c r="F196" s="14">
        <v>35</v>
      </c>
      <c r="G196" s="19"/>
      <c r="H196" s="180"/>
      <c r="J196" s="336" t="s">
        <v>136</v>
      </c>
      <c r="K196" s="336"/>
      <c r="L196" s="14"/>
      <c r="M196" s="181"/>
      <c r="N196" s="182"/>
    </row>
    <row r="197" spans="3:14">
      <c r="C197" s="336" t="s">
        <v>270</v>
      </c>
      <c r="D197" s="336"/>
      <c r="E197" s="179"/>
      <c r="F197" s="14" t="s">
        <v>33</v>
      </c>
      <c r="G197" s="19"/>
      <c r="H197" s="180"/>
      <c r="J197" s="336" t="s">
        <v>270</v>
      </c>
      <c r="K197" s="336"/>
      <c r="L197" s="14"/>
      <c r="M197" s="181"/>
      <c r="N197" s="182"/>
    </row>
    <row r="198" spans="3:14">
      <c r="C198" s="336" t="s">
        <v>272</v>
      </c>
      <c r="D198" s="336"/>
      <c r="E198" s="179"/>
      <c r="F198" s="14" t="s">
        <v>33</v>
      </c>
      <c r="G198" s="19"/>
      <c r="H198" s="180"/>
      <c r="J198" s="331" t="s">
        <v>269</v>
      </c>
      <c r="K198" s="332"/>
      <c r="L198" s="14"/>
      <c r="M198" s="181"/>
      <c r="N198" s="182"/>
    </row>
    <row r="199" spans="3:14">
      <c r="C199" s="336" t="s">
        <v>146</v>
      </c>
      <c r="D199" s="336"/>
      <c r="E199" s="179"/>
      <c r="F199" s="15">
        <v>0</v>
      </c>
      <c r="G199" s="16"/>
      <c r="H199"/>
      <c r="J199" s="336" t="s">
        <v>135</v>
      </c>
      <c r="K199" s="336"/>
      <c r="L199" s="15"/>
      <c r="M199" s="183"/>
      <c r="N199" s="184"/>
    </row>
    <row r="200" spans="3:14">
      <c r="C200" s="334" t="s">
        <v>250</v>
      </c>
      <c r="D200" s="334"/>
      <c r="E200" s="179"/>
      <c r="F200" s="239" t="s">
        <v>65</v>
      </c>
      <c r="G200" s="185"/>
      <c r="H200"/>
      <c r="J200" s="334" t="s">
        <v>252</v>
      </c>
      <c r="K200" s="334"/>
      <c r="L200" s="239"/>
      <c r="M200" s="181"/>
      <c r="N200" s="182"/>
    </row>
    <row r="201" spans="3:14" ht="15" thickBot="1">
      <c r="C201"/>
      <c r="D201"/>
      <c r="E201"/>
      <c r="H201"/>
      <c r="J201" s="335"/>
      <c r="K201" s="335"/>
      <c r="L201" s="41"/>
      <c r="M201" s="41"/>
      <c r="N201" s="186"/>
    </row>
    <row r="202" spans="3:14">
      <c r="C202" s="187" t="s">
        <v>34</v>
      </c>
      <c r="D202" s="188" t="s">
        <v>35</v>
      </c>
      <c r="E202" s="188"/>
      <c r="F202" s="188" t="s">
        <v>25</v>
      </c>
      <c r="G202" s="80" t="str">
        <f>IF(H202="","",H202*F199)</f>
        <v/>
      </c>
      <c r="H202" s="81"/>
      <c r="I202"/>
      <c r="J202" s="189" t="s">
        <v>34</v>
      </c>
      <c r="K202" s="189" t="s">
        <v>35</v>
      </c>
      <c r="L202" s="177" t="s">
        <v>25</v>
      </c>
      <c r="M202" s="178"/>
      <c r="N202" s="178"/>
    </row>
    <row r="203" spans="3:14">
      <c r="C203" s="67" t="s">
        <v>38</v>
      </c>
      <c r="D203" s="60">
        <v>1</v>
      </c>
      <c r="E203" s="102">
        <f>F203</f>
        <v>0</v>
      </c>
      <c r="F203" s="74">
        <f>IF(H203="","",ROUNDUP(G203+H203,0))</f>
        <v>0</v>
      </c>
      <c r="G203" s="75">
        <f>IF(H203="","",H203*F199)</f>
        <v>0</v>
      </c>
      <c r="H203" s="82">
        <f>IF(OR(F200="oui",F200=""),"",IF((F200="non"),IF(OR(F193="",F195=""),"",(F193+F195)*2)))</f>
        <v>0</v>
      </c>
      <c r="I203"/>
      <c r="J203" s="59" t="s">
        <v>134</v>
      </c>
      <c r="K203" s="60">
        <v>1</v>
      </c>
      <c r="L203" s="61" t="str">
        <f>IF(N203="","",ROUNDUP(N203+M203+1,0))</f>
        <v/>
      </c>
      <c r="M203" s="61" t="str">
        <f>IF(N203="","",N203*L199)</f>
        <v/>
      </c>
      <c r="N203" s="62" t="str">
        <f>IF(OR(L193="",L194=""),"",IF(L200="non",((L193*2)+(L194*2)),IF(L200="oui",((L193*2)+(L195*2)))))</f>
        <v/>
      </c>
    </row>
    <row r="204" spans="3:14">
      <c r="C204" s="67" t="s">
        <v>249</v>
      </c>
      <c r="D204" s="60">
        <v>1</v>
      </c>
      <c r="E204" s="102" t="str">
        <f>F204</f>
        <v/>
      </c>
      <c r="F204" s="74" t="str">
        <f>IF(H204="","",ROUNDUP(G204+H204,0))</f>
        <v/>
      </c>
      <c r="G204" s="75" t="str">
        <f>IF(H204="","",H204*F199)</f>
        <v/>
      </c>
      <c r="H204" s="82" t="str">
        <f>IF(OR(F200="non",F200=""),"",IF((F200="oui"),IF(OR(F193="",F195=""),"",(F193+F195)*2)))</f>
        <v/>
      </c>
      <c r="I204"/>
      <c r="J204" s="59" t="s">
        <v>253</v>
      </c>
      <c r="K204" s="60">
        <v>1</v>
      </c>
      <c r="L204" s="61" t="str">
        <f>IF(N204="","",ROUNDUP(N204+M204+1,0))</f>
        <v/>
      </c>
      <c r="M204" s="61" t="str">
        <f>IF(N204="","",N204*L199)</f>
        <v/>
      </c>
      <c r="N204" s="62" t="str">
        <f>IF(L200="oui",N203,"")</f>
        <v/>
      </c>
    </row>
    <row r="205" spans="3:14" ht="15" thickBot="1">
      <c r="C205" s="69" t="s">
        <v>39</v>
      </c>
      <c r="D205" s="70">
        <v>100</v>
      </c>
      <c r="E205" s="104">
        <f>F205</f>
        <v>0</v>
      </c>
      <c r="F205" s="190">
        <f>IF(H205="","",ROUNDUP(G205+H205,0))</f>
        <v>0</v>
      </c>
      <c r="G205" s="191">
        <f>IF(H205="","",H205*F199)</f>
        <v>0</v>
      </c>
      <c r="H205" s="85">
        <f>IF(AND(H203="",H204=""),"",IF(H203&lt;&gt;"",(H203*3)/100,IF(H204&lt;&gt;"",(H204*3)/100)))</f>
        <v>0</v>
      </c>
      <c r="I205"/>
      <c r="J205" s="77" t="s">
        <v>39</v>
      </c>
      <c r="K205" s="78">
        <v>100</v>
      </c>
      <c r="L205" s="192" t="str">
        <f>IF(N205="","",ROUNDUP(N205+M205,0))</f>
        <v/>
      </c>
      <c r="M205" s="192" t="str">
        <f>IF(N205="","",N205*L199)</f>
        <v/>
      </c>
      <c r="N205" s="193" t="str">
        <f>IF(N203="","",(L203*4)/100)</f>
        <v/>
      </c>
    </row>
    <row r="206" spans="3:14" ht="15" thickBot="1">
      <c r="C206" s="312" t="s">
        <v>262</v>
      </c>
      <c r="D206" s="64">
        <v>1</v>
      </c>
      <c r="E206" s="194">
        <f t="shared" ref="E206:E226" si="40">F206</f>
        <v>0</v>
      </c>
      <c r="F206" s="195">
        <f t="shared" ref="F206:F218" si="41">IF(H206="","",ROUNDUP(H206+G206,0))</f>
        <v>0</v>
      </c>
      <c r="G206" s="196">
        <f t="shared" ref="G206" si="42">IF(H206="","",H206*$F$14)</f>
        <v>0</v>
      </c>
      <c r="H206" s="197">
        <f>IF(AND(F197="oui",F198="oui",F200="non"),H203-(F195*4),IF(AND(F197="oui",F198="oui",F200="oui"),H204-(F195*4),""))</f>
        <v>0</v>
      </c>
      <c r="I206"/>
      <c r="J206" s="312" t="s">
        <v>262</v>
      </c>
      <c r="K206" s="198">
        <v>1</v>
      </c>
      <c r="L206" s="199" t="str">
        <f t="shared" ref="L206:L225" si="43">IF(N206="","",ROUNDUP(N206+M206,0))</f>
        <v/>
      </c>
      <c r="M206" s="199" t="str">
        <f>IF(N206="","",N206*L199)</f>
        <v/>
      </c>
      <c r="N206" s="200" t="str">
        <f>IF(AND(L197="oui",L198="oui",L200="non"),((L193-L194)*2),"")</f>
        <v/>
      </c>
    </row>
    <row r="207" spans="3:14">
      <c r="C207" s="313" t="s">
        <v>263</v>
      </c>
      <c r="D207" s="64">
        <v>1</v>
      </c>
      <c r="E207" s="103" t="str">
        <f t="shared" si="40"/>
        <v/>
      </c>
      <c r="F207" s="87" t="str">
        <f t="shared" si="41"/>
        <v/>
      </c>
      <c r="G207" s="201" t="str">
        <f>IF(H207="","",H207*$F$14)</f>
        <v/>
      </c>
      <c r="H207" s="173" t="str">
        <f>IF(F198="oui","",IF(AND(AND(F196&gt;=30,F196&lt;=34),F197="oui",F198="non",F200="non"),H203-(F195*4),IF(AND(AND(F196&gt;=30,F196&lt;=34),F197="oui",F198="non",F200="oui"),H204-(F195*4),"")))</f>
        <v/>
      </c>
      <c r="I207"/>
      <c r="J207" s="313" t="s">
        <v>263</v>
      </c>
      <c r="K207" s="89">
        <v>1</v>
      </c>
      <c r="L207" s="73" t="str">
        <f t="shared" si="43"/>
        <v/>
      </c>
      <c r="M207" s="73" t="str">
        <f>IF(N207="","",N207*L199)</f>
        <v/>
      </c>
      <c r="N207" s="202" t="str">
        <f>IF(L198="oui","",IF(AND(L196&gt;=30,L196&lt;=34,L197="oui",L200="non"),((L193-L194)*2),IF(AND(AND(L196&gt;=30,L196&lt;=32),L197="oui",L200="oui"),((L193-L195)*2),"")))</f>
        <v/>
      </c>
    </row>
    <row r="208" spans="3:14">
      <c r="C208" s="67" t="s">
        <v>264</v>
      </c>
      <c r="D208" s="60">
        <v>1</v>
      </c>
      <c r="E208" s="102" t="str">
        <f t="shared" si="40"/>
        <v/>
      </c>
      <c r="F208" s="76" t="str">
        <f t="shared" si="41"/>
        <v/>
      </c>
      <c r="G208" s="201" t="str">
        <f t="shared" ref="G208:G211" si="44">IF(H208="","",H208*$F$14)</f>
        <v/>
      </c>
      <c r="H208" s="82" t="str">
        <f>IF(F198="oui","",IF(AND(AND(F196&gt;=35,F196&lt;=39),F197="oui",F200="non"),H203-(F195*4),IF(AND(AND(F196&gt;=35,F196&lt;=39),F197="oui",F200="oui"),H204-(F195*4),"")))</f>
        <v/>
      </c>
      <c r="I208"/>
      <c r="J208" s="67" t="s">
        <v>264</v>
      </c>
      <c r="K208" s="60">
        <v>1</v>
      </c>
      <c r="L208" s="61" t="str">
        <f t="shared" si="43"/>
        <v/>
      </c>
      <c r="M208" s="61" t="str">
        <f>IF(N208="","",N208*L199)</f>
        <v/>
      </c>
      <c r="N208" s="68" t="str">
        <f>IF(L198="oui","",IF(AND(L196&gt;=35,L196&lt;=39,L197="oui",L200="non"),((L193-L194)*2),IF(AND(AND(L196&gt;=33,L196&lt;=37),L197="oui",L200="oui"),((L193-L195)*2),"")))</f>
        <v/>
      </c>
    </row>
    <row r="209" spans="3:14">
      <c r="C209" s="67" t="s">
        <v>265</v>
      </c>
      <c r="D209" s="60">
        <v>1</v>
      </c>
      <c r="E209" s="102" t="str">
        <f t="shared" si="40"/>
        <v/>
      </c>
      <c r="F209" s="76" t="str">
        <f t="shared" si="41"/>
        <v/>
      </c>
      <c r="G209" s="201" t="str">
        <f t="shared" si="44"/>
        <v/>
      </c>
      <c r="H209" s="82" t="str">
        <f>IF(F198="oui","",IF(AND(AND(F196&gt;=40,F196&lt;=44),F197="oui",F200="non"),H203-(F195*4),IF(AND(AND(F196&gt;=40,F196&lt;=44),F197="oui",F200="oui"),H204-(F195*4),"")))</f>
        <v/>
      </c>
      <c r="I209"/>
      <c r="J209" s="67" t="s">
        <v>265</v>
      </c>
      <c r="K209" s="60">
        <v>1</v>
      </c>
      <c r="L209" s="61" t="str">
        <f t="shared" si="43"/>
        <v/>
      </c>
      <c r="M209" s="61" t="str">
        <f>IF(N209="","",N209*L199)</f>
        <v/>
      </c>
      <c r="N209" s="68" t="str">
        <f>IF(L198="oui","",IF(AND(L196&gt;=40,L196&lt;=44,L197="oui",L200="non"),((L193-L194)*2),IF(AND(AND(L196&gt;=38,L196&lt;=42),L197="oui",L200="oui"),((L193-L195)*2),"")))</f>
        <v/>
      </c>
    </row>
    <row r="210" spans="3:14">
      <c r="C210" s="67" t="s">
        <v>266</v>
      </c>
      <c r="D210" s="60">
        <v>1</v>
      </c>
      <c r="E210" s="102" t="str">
        <f t="shared" si="40"/>
        <v/>
      </c>
      <c r="F210" s="76" t="str">
        <f t="shared" si="41"/>
        <v/>
      </c>
      <c r="G210" s="201" t="str">
        <f t="shared" si="44"/>
        <v/>
      </c>
      <c r="H210" s="82" t="str">
        <f>IF(F198="oui","",IF(AND(AND(F196&gt;=45,F196&lt;=49),F197="oui",F200="non"),H203-(F195*4),IF(AND(AND(F196&gt;=45,F196&lt;=49),F197="oui",F200="oui"),H204-(F195*4),"")))</f>
        <v/>
      </c>
      <c r="I210"/>
      <c r="J210" s="67" t="s">
        <v>266</v>
      </c>
      <c r="K210" s="60">
        <v>1</v>
      </c>
      <c r="L210" s="61" t="str">
        <f t="shared" si="43"/>
        <v/>
      </c>
      <c r="M210" s="61" t="str">
        <f>IF(N210="","",N210*L199)</f>
        <v/>
      </c>
      <c r="N210" s="68" t="str">
        <f>IF(L198="oui","",IF(AND(L196&gt;=45,L196&lt;=49,L197="oui",L200="non"),((L193-L194)*2),IF(AND(AND(L196&gt;=43,L196&lt;=47),L197="oui",L200="oui"),((L193-L195)*2),"")))</f>
        <v/>
      </c>
    </row>
    <row r="211" spans="3:14" ht="15" thickBot="1">
      <c r="C211" s="69" t="s">
        <v>267</v>
      </c>
      <c r="D211" s="70">
        <v>1</v>
      </c>
      <c r="E211" s="104" t="str">
        <f t="shared" si="40"/>
        <v/>
      </c>
      <c r="F211" s="83" t="str">
        <f t="shared" si="41"/>
        <v/>
      </c>
      <c r="G211" s="201" t="str">
        <f t="shared" si="44"/>
        <v/>
      </c>
      <c r="H211" s="85" t="str">
        <f>IF(F198="oui","",IF(AND(F196=50,F197="oui",F200="non"),H203-(F195*4),IF(AND(F196=50,F197="oui",F200="oui"),H204-(F195*4),"")))</f>
        <v/>
      </c>
      <c r="I211"/>
      <c r="J211" s="69" t="s">
        <v>267</v>
      </c>
      <c r="K211" s="70">
        <v>1</v>
      </c>
      <c r="L211" s="71" t="str">
        <f t="shared" si="43"/>
        <v/>
      </c>
      <c r="M211" s="71" t="str">
        <f>IF(N211="","",N211*L199)</f>
        <v/>
      </c>
      <c r="N211" s="72" t="str">
        <f>IF(L198="oui","",IF(AND(L196=50,L197="oui",L200="non"),((L193-L194)*2),IF(AND(AND(L196&gt;=48,L196&lt;=50),L197="oui",L200="oui"),((L193-L195)*2),"")))</f>
        <v/>
      </c>
    </row>
    <row r="212" spans="3:14">
      <c r="C212" s="63" t="s">
        <v>40</v>
      </c>
      <c r="D212" s="64">
        <v>1</v>
      </c>
      <c r="E212" s="103" t="str">
        <f t="shared" si="40"/>
        <v/>
      </c>
      <c r="F212" s="79" t="str">
        <f t="shared" si="41"/>
        <v/>
      </c>
      <c r="G212" s="80" t="str">
        <f>IF(H212="","",H212*$F$14)</f>
        <v/>
      </c>
      <c r="H212" s="81" t="str">
        <f>IF(F198="oui","",IF(AND(OR(F196=30,F196=31),F197="non",F200="non"),H203-(F195*4),IF(AND(OR(F196=30,F196=31),F197="non",F200="oui"),H204-(F195*4),"")))</f>
        <v/>
      </c>
      <c r="I212"/>
      <c r="J212" s="63" t="s">
        <v>40</v>
      </c>
      <c r="K212" s="64">
        <v>1</v>
      </c>
      <c r="L212" s="65" t="str">
        <f t="shared" si="43"/>
        <v/>
      </c>
      <c r="M212" s="65" t="str">
        <f>IF(N212="","",N212*L199)</f>
        <v/>
      </c>
      <c r="N212" s="66" t="str">
        <f>IF(AND(OR(L196=30,L196=31),L197="non",L200="non"),((L193-L194)*2),"")</f>
        <v/>
      </c>
    </row>
    <row r="213" spans="3:14">
      <c r="C213" s="67" t="s">
        <v>41</v>
      </c>
      <c r="D213" s="60">
        <v>1</v>
      </c>
      <c r="E213" s="102" t="str">
        <f t="shared" si="40"/>
        <v/>
      </c>
      <c r="F213" s="76" t="str">
        <f t="shared" si="41"/>
        <v/>
      </c>
      <c r="G213" s="75" t="str">
        <f t="shared" ref="G213:G216" si="45">IF(H213="","",H213*$F$14)</f>
        <v/>
      </c>
      <c r="H213" s="82" t="str">
        <f>IF(F198="oui","",IF(AND(AND(F196&gt;=32,F196&lt;=36),F197="non",F200="non"),H203-(F195*4),IF(AND(AND(F196&gt;=32,F196&lt;=36),F197="non",F200="oui"),H204-(F195*4),"")))</f>
        <v/>
      </c>
      <c r="I213"/>
      <c r="J213" s="67" t="s">
        <v>41</v>
      </c>
      <c r="K213" s="60">
        <v>1</v>
      </c>
      <c r="L213" s="61" t="str">
        <f t="shared" si="43"/>
        <v/>
      </c>
      <c r="M213" s="61" t="str">
        <f>IF(N213="","",N213*L199)</f>
        <v/>
      </c>
      <c r="N213" s="68" t="str">
        <f>IF(L198="oui","",IF(AND(L196&gt;=32,L196&lt;=36,L197="non",L200="non"),((L193-L194)*2),IF(AND(AND(L196&gt;=30,L196&lt;=34),L197="non",L200="oui"),((L193-L195)*2),"")))</f>
        <v/>
      </c>
    </row>
    <row r="214" spans="3:14">
      <c r="C214" s="67" t="s">
        <v>42</v>
      </c>
      <c r="D214" s="60">
        <v>1</v>
      </c>
      <c r="E214" s="102" t="str">
        <f t="shared" si="40"/>
        <v/>
      </c>
      <c r="F214" s="76" t="str">
        <f t="shared" si="41"/>
        <v/>
      </c>
      <c r="G214" s="75" t="str">
        <f t="shared" si="45"/>
        <v/>
      </c>
      <c r="H214" s="82" t="str">
        <f>IF(F198="oui","",IF(AND(AND(F196&gt;=37,F196&lt;=41),F197="non",F200="non"),H203-(F195*4),IF(AND(AND(F196&gt;=37,F196&lt;=41),F197="non",F200="oui"),H204-(F195*4),"")))</f>
        <v/>
      </c>
      <c r="I214"/>
      <c r="J214" s="67" t="s">
        <v>42</v>
      </c>
      <c r="K214" s="60">
        <v>1</v>
      </c>
      <c r="L214" s="61" t="str">
        <f t="shared" si="43"/>
        <v/>
      </c>
      <c r="M214" s="61" t="str">
        <f>IF(N214="","",N214*L199)</f>
        <v/>
      </c>
      <c r="N214" s="68" t="str">
        <f>IF(L198="oui","",IF(AND(L196&gt;=37,L196&lt;=41,L197="non",L200="non"),((L193-L194)*2),IF(AND(AND(L196&gt;=35,L196&lt;=39),L197="non",L200="oui"),((L193-L195)*2),"")))</f>
        <v/>
      </c>
    </row>
    <row r="215" spans="3:14">
      <c r="C215" s="67" t="s">
        <v>43</v>
      </c>
      <c r="D215" s="60">
        <v>1</v>
      </c>
      <c r="E215" s="102" t="str">
        <f t="shared" si="40"/>
        <v/>
      </c>
      <c r="F215" s="76" t="str">
        <f t="shared" si="41"/>
        <v/>
      </c>
      <c r="G215" s="75" t="str">
        <f t="shared" si="45"/>
        <v/>
      </c>
      <c r="H215" s="82" t="str">
        <f>IF(F198="oui","",IF(AND(AND(F196&gt;=42,F196&lt;=46),F197="non",F200="non"),H203-(F195*4),IF(AND(AND(F196&gt;=42,F196&lt;=46),F197="non",F200="oui"),H204-(F195*4),"")))</f>
        <v/>
      </c>
      <c r="I215"/>
      <c r="J215" s="67" t="s">
        <v>43</v>
      </c>
      <c r="K215" s="60">
        <v>1</v>
      </c>
      <c r="L215" s="61" t="str">
        <f t="shared" si="43"/>
        <v/>
      </c>
      <c r="M215" s="61" t="str">
        <f>IF(N215="","",N215*L199)</f>
        <v/>
      </c>
      <c r="N215" s="68" t="str">
        <f>IF(L198="oui","",IF(AND(L196&gt;=42,L196&lt;=46,L197="non",L200="non"),((L193-L194)*2),IF(AND(AND(L196&gt;=40,L196&lt;=44),L197="non",L200="oui"),((L193-L195)*2),"")))</f>
        <v/>
      </c>
    </row>
    <row r="216" spans="3:14" ht="15" thickBot="1">
      <c r="C216" s="69" t="s">
        <v>44</v>
      </c>
      <c r="D216" s="70">
        <v>1</v>
      </c>
      <c r="E216" s="104" t="str">
        <f t="shared" si="40"/>
        <v/>
      </c>
      <c r="F216" s="86" t="str">
        <f t="shared" si="41"/>
        <v/>
      </c>
      <c r="G216" s="84" t="str">
        <f t="shared" si="45"/>
        <v/>
      </c>
      <c r="H216" s="85" t="str">
        <f>IF(F198="oui","",IF(AND(AND(F196&gt;=47,F196&lt;=50),F197="non",F200="non"),H203-(F195*4),IF(AND(AND(F196&gt;=47,F196&lt;=50),F197="non",F200="oui"),H204-(F195*4),"")))</f>
        <v/>
      </c>
      <c r="I216"/>
      <c r="J216" s="69" t="s">
        <v>44</v>
      </c>
      <c r="K216" s="70">
        <v>1</v>
      </c>
      <c r="L216" s="71" t="str">
        <f t="shared" si="43"/>
        <v/>
      </c>
      <c r="M216" s="71" t="str">
        <f>IF(N216="","",N216*L199)</f>
        <v/>
      </c>
      <c r="N216" s="72" t="str">
        <f>IF(L198="oui","",IF(AND(L196&gt;=47,L196&lt;=50,L197="non",L200="non"),((L193-L194)*2),IF(AND(AND(L196&gt;=45,L196&lt;=50),L197="non",L200="oui"),((L193-L195)*2),"")))</f>
        <v/>
      </c>
    </row>
    <row r="217" spans="3:14">
      <c r="C217" s="63" t="s">
        <v>45</v>
      </c>
      <c r="D217" s="64">
        <v>1</v>
      </c>
      <c r="E217" s="103" t="str">
        <f t="shared" si="40"/>
        <v/>
      </c>
      <c r="F217" s="87" t="str">
        <f t="shared" si="41"/>
        <v/>
      </c>
      <c r="G217" s="80" t="str">
        <f>IF(H217="","",H217*$F$14)</f>
        <v/>
      </c>
      <c r="H217" s="88" t="str">
        <f>IF(AND(OR(F196=30,F196=31),H203&lt;&gt;"",H206&lt;&gt;""),H203-H206,IF(AND(OR(F196=30,F196=31),H204&lt;&gt;"",H206&lt;&gt;""),H204-H206,IF(AND(OR(F196=30,F196=31),F197="oui",F200="non"),H203-H207,IF(AND(OR(F196=30,F196=31),F197="non",F200="non"),H203-H212,IF(AND(OR(F196=30,F196=31),F197="oui",F200="oui"),H204-H207,IF(AND(OR(F196=30,F196=31),F197="non",F200="oui"),H204-H212,""))))))</f>
        <v/>
      </c>
      <c r="I217"/>
      <c r="J217" s="63" t="s">
        <v>45</v>
      </c>
      <c r="K217" s="64">
        <v>1</v>
      </c>
      <c r="L217" s="65" t="str">
        <f t="shared" si="43"/>
        <v/>
      </c>
      <c r="M217" s="65" t="str">
        <f>IF(N217="","",N217*L199)</f>
        <v/>
      </c>
      <c r="N217" s="66" t="str">
        <f>IF(AND(OR(L196=30,L196=31),L198="oui",L200="non"),N203-N206,IF(AND(OR(L196=30,L196=31),L197="oui",L200="oui"),N203-N207,IF(AND(OR(L196=30,L196=31),L197="non",L200="oui"),N203-N213,IF(AND(OR(L196=30,L196=31),L197="oui",L200="non"),N203-N207,IF(AND(OR(L196=30,L196=31),L197="non",L200="non"),N203-N212,"")))))</f>
        <v/>
      </c>
    </row>
    <row r="218" spans="3:14">
      <c r="C218" s="67" t="s">
        <v>46</v>
      </c>
      <c r="D218" s="60">
        <v>1</v>
      </c>
      <c r="E218" s="102" t="str">
        <f t="shared" si="40"/>
        <v/>
      </c>
      <c r="F218" s="76" t="str">
        <f t="shared" si="41"/>
        <v/>
      </c>
      <c r="G218" s="75" t="str">
        <f t="shared" ref="G218:G225" si="46">IF(H218="","",H218*$F$14)</f>
        <v/>
      </c>
      <c r="H218" s="82" t="str">
        <f>IF(AND(OR(F196=32,F196=33),H203&lt;&gt;"",H206&lt;&gt;""),H203-H206,IF(AND(OR(F196=32,F196=33),H204&lt;&gt;"",H206&lt;&gt;""),H204-H206,IF(AND(OR(F196=32,F196=33),F197="oui",F200="non"),H203-H207,IF(AND(OR(F196=32,F196=33),F197="non",F200="non"),H203-H213,IF(AND(OR(F196=32,F196=33),F197="oui",F200="oui"),H204-H207,IF(AND(OR(F196=32,F196=33),F197="non",F200="oui"),H204-H213,""))))))</f>
        <v/>
      </c>
      <c r="I218"/>
      <c r="J218" s="67" t="s">
        <v>46</v>
      </c>
      <c r="K218" s="60">
        <v>1</v>
      </c>
      <c r="L218" s="61" t="str">
        <f t="shared" si="43"/>
        <v/>
      </c>
      <c r="M218" s="61" t="str">
        <f>IF(N218="","",N218*L199)</f>
        <v/>
      </c>
      <c r="N218" s="68" t="str">
        <f>IF(AND(OR(L196=32,L196=33),L198="oui",L200="non"),N203-N206,IF(AND(L196=32,L197="oui",L200="oui"),N203-N207,IF(AND(L196=33,L197="oui",L200="oui"),N203-N208,IF(AND(OR(L196=32,L196=33),L197="non",L200="oui"),N203-N213,IF(AND(OR(L196=32,L196=33),L197="oui",L200="non"),N203-N207,IF(AND(OR(L196=32,L196=33),L197="non",L200="non"),N203-N213,""))))))</f>
        <v/>
      </c>
    </row>
    <row r="219" spans="3:14">
      <c r="C219" s="67" t="s">
        <v>47</v>
      </c>
      <c r="D219" s="60">
        <v>1</v>
      </c>
      <c r="E219" s="102">
        <f t="shared" si="40"/>
        <v>0</v>
      </c>
      <c r="F219" s="76">
        <f>IF(H219="","",ROUNDUP(H219+G219,0))</f>
        <v>0</v>
      </c>
      <c r="G219" s="75">
        <f t="shared" si="46"/>
        <v>0</v>
      </c>
      <c r="H219" s="82">
        <f>IF(AND(OR(F196=34,F196=35),H203&lt;&gt;"",H206&lt;&gt;""),H203-H206,IF(AND(OR(F196=34,F196=35),H204&lt;&gt;"",H206&lt;&gt;""),H204-H206,IF(AND(F196=34,F197="oui",F200="non"),H203-H207,IF(AND(F196=35,F197="oui",F200="non"),H203-H208,IF(AND(OR(F196=34,F196=35),F197="non",F200="non"),H203-H213,IF(AND(F196=34,F197="oui",F200="oui"),H204-H207,IF(AND(F196=35,F197="oui",F200="oui"),H204-H208,IF(AND(OR(F196=34,F196=35),F197="non",F200="oui"),H204-H213,""))))))))</f>
        <v>0</v>
      </c>
      <c r="I219"/>
      <c r="J219" s="67" t="s">
        <v>47</v>
      </c>
      <c r="K219" s="60">
        <v>1</v>
      </c>
      <c r="L219" s="61" t="str">
        <f t="shared" si="43"/>
        <v/>
      </c>
      <c r="M219" s="61" t="str">
        <f>IF(N219="","",N219*L199)</f>
        <v/>
      </c>
      <c r="N219" s="68" t="str">
        <f>IF(AND(OR(L196=34,L196=35),L198="oui",L200="non"),N203-N206,IF(AND(OR(L196=34,L196=35),L197="oui",L200="oui"),N203-N208,IF(AND(L196=34,L197="non",L200="oui"),N203-N213,IF(AND(L196=35,L197="non",L200="oui"),N203-N214,IF(AND(L196=34,L197="oui",L200="non"),N203-N207,IF(AND(L196=35,L197="oui",L200="non"),N203-N208,IF(AND(OR(L196=34,L196=35),L197="non",L200="non"),N203-N213,"")))))))</f>
        <v/>
      </c>
    </row>
    <row r="220" spans="3:14">
      <c r="C220" s="67" t="s">
        <v>48</v>
      </c>
      <c r="D220" s="60">
        <v>1</v>
      </c>
      <c r="E220" s="102" t="str">
        <f t="shared" si="40"/>
        <v/>
      </c>
      <c r="F220" s="76" t="str">
        <f t="shared" ref="F220:F225" si="47">IF(H220="","",ROUNDUP(H220+G220,0))</f>
        <v/>
      </c>
      <c r="G220" s="75" t="str">
        <f t="shared" si="46"/>
        <v/>
      </c>
      <c r="H220" s="82" t="str">
        <f>IF(AND(OR(F196=36,F196=37),H203&lt;&gt;"",H206&lt;&gt;""),H203-H206,IF(AND(OR(F196=36,F196=37),H204&lt;&gt;"",H206&lt;&gt;""),H204-H206,IF(AND(F196=36,F197="oui",F200="non"),H203-H208,IF(AND(F196=36,F197="non",F200="non"),H203-H213,IF(AND(F196=37,F197="oui",F200="non"),H203-H208,IF(AND(F196=37,F197="non",F200="non"),H203-H214,IF(AND(F196=36,F197="oui",F200="oui"),H204-H208,IF(AND(F196=36,F197="non",F200="oui"),H204-H213,IF(AND(F196=37,F197="oui",F200="oui"),H204-H208,IF(AND(F196=37,F197="non",F200="oui"),H204-H214,""))))))))))</f>
        <v/>
      </c>
      <c r="I220"/>
      <c r="J220" s="67" t="s">
        <v>48</v>
      </c>
      <c r="K220" s="60">
        <v>1</v>
      </c>
      <c r="L220" s="61" t="str">
        <f t="shared" si="43"/>
        <v/>
      </c>
      <c r="M220" s="61" t="str">
        <f>IF(N220="","",N220*L199)</f>
        <v/>
      </c>
      <c r="N220" s="68" t="str">
        <f>IF(AND(OR(L196=36,L196=37),L198="oui",L200="non"),N203-N206,IF(AND(OR(L196=36,L196=37),L197="oui",L200="oui"),N203-N208,IF(AND(OR(L196=36,L196=37),L197="non",L200="oui"),N203-N214,IF(AND(OR(L196=36,L196=37),L197="oui",L200="non"),N203-N208,IF(AND(L196=36,L197="non",L200="non"),N203-N213,IF(AND(L196=37,L197="non",L200="non"),N203-N214,""))))))</f>
        <v/>
      </c>
    </row>
    <row r="221" spans="3:14">
      <c r="C221" s="67" t="s">
        <v>49</v>
      </c>
      <c r="D221" s="60">
        <v>1</v>
      </c>
      <c r="E221" s="102" t="str">
        <f t="shared" si="40"/>
        <v/>
      </c>
      <c r="F221" s="76" t="str">
        <f t="shared" si="47"/>
        <v/>
      </c>
      <c r="G221" s="75" t="str">
        <f t="shared" si="46"/>
        <v/>
      </c>
      <c r="H221" s="82" t="str">
        <f>IF(AND(OR(F196=38,F196=39),H203&lt;&gt;"",H206&lt;&gt;""),H203-H206,IF(AND(OR(F196=36,F196=37),H204&lt;&gt;"",H206&lt;&gt;""),H204-H206,IF(AND(OR(F196=38,F196=39),F197="oui",F200="non"),H203-H208,IF(AND(OR(F196=38,F196=39),F197="non",F200="non"),H203-H214,IF(AND(OR(F196=38,F196=39),F197="oui",F200="oui"),H204-H208,IF(AND(OR(F196=38,F196=39),F197="non",F200="oui"),H204-H214,""))))))</f>
        <v/>
      </c>
      <c r="I221"/>
      <c r="J221" s="67" t="s">
        <v>49</v>
      </c>
      <c r="K221" s="60">
        <v>1</v>
      </c>
      <c r="L221" s="61" t="str">
        <f t="shared" si="43"/>
        <v/>
      </c>
      <c r="M221" s="61" t="str">
        <f>IF(N221="","",N221*L199)</f>
        <v/>
      </c>
      <c r="N221" s="68" t="str">
        <f>IF(AND(OR(L196=38,L196=39),L198="oui",L200="non"),N203-N206,IF(AND(OR(L196=38,L196=39),L197="oui",L200="oui"),N203-N209,IF(AND(OR(L196=38,L196=39),L197="non",L200="oui"),N203-N214,IF(AND(OR(L196=38,L196=39),L197="oui",L200="non"),N203-N208,IF(AND(OR(L196=38,L196=39),L197="non",L200="non"),N203-N214,"")))))</f>
        <v/>
      </c>
    </row>
    <row r="222" spans="3:14">
      <c r="C222" s="67" t="s">
        <v>50</v>
      </c>
      <c r="D222" s="60">
        <v>1</v>
      </c>
      <c r="E222" s="102" t="str">
        <f t="shared" si="40"/>
        <v/>
      </c>
      <c r="F222" s="76" t="str">
        <f t="shared" si="47"/>
        <v/>
      </c>
      <c r="G222" s="75" t="str">
        <f t="shared" si="46"/>
        <v/>
      </c>
      <c r="H222" s="82" t="str">
        <f>IF(AND(OR(F196=40,F196=41),H203&lt;&gt;"",H206&lt;&gt;""),H203-H206,IF(AND(OR(F196=40,F196=41),H204&lt;&gt;"",H206&lt;&gt;""),H204-H206,IF(AND(OR(F196=40,F196=41),F197="oui",F200="non"),H203-H209,IF(AND(OR(F196=40,F196=41),F197="non",F200="non"),H203-H214,IF(AND(OR(F196=40,F196=41),F197="oui",F200="oui"),H204-H209,IF(AND(OR(F196=40,F196=41),F197="non",F200="oui"),H204-H214,""))))))</f>
        <v/>
      </c>
      <c r="I222"/>
      <c r="J222" s="67" t="s">
        <v>50</v>
      </c>
      <c r="K222" s="60">
        <v>1</v>
      </c>
      <c r="L222" s="61" t="str">
        <f t="shared" si="43"/>
        <v/>
      </c>
      <c r="M222" s="61" t="str">
        <f>IF(N222="","",N222*L199)</f>
        <v/>
      </c>
      <c r="N222" s="68" t="str">
        <f>IF(AND(OR(L196=40,L196=41),L198="oui",L200="non"),N203-N206,IF(AND(OR(L196=40,L196=41),L197="oui",L200="oui"),N203-N209,IF(AND(OR(L196=40,L196=41),L197="non",L200="oui"),N203-N215,IF(AND(OR(L196=40,L196=41),L197="oui",L200="non"),N203-N209,IF(AND(OR(L196=40,L196=41),L197="non",L200="non"),N203-N214,"")))))</f>
        <v/>
      </c>
    </row>
    <row r="223" spans="3:14">
      <c r="C223" s="67" t="s">
        <v>51</v>
      </c>
      <c r="D223" s="60">
        <v>1</v>
      </c>
      <c r="E223" s="102" t="str">
        <f t="shared" si="40"/>
        <v/>
      </c>
      <c r="F223" s="76" t="str">
        <f t="shared" si="47"/>
        <v/>
      </c>
      <c r="G223" s="75" t="str">
        <f t="shared" si="46"/>
        <v/>
      </c>
      <c r="H223" s="82" t="str">
        <f>IF(AND(OR(F196=42,F196=43,F196=44),H203&lt;&gt;"",H206&lt;&gt;""),H203-H206,IF(AND(OR(F196=42,F196=43,F196=44),H204&lt;&gt;"",H206&lt;&gt;""),H204-H206,IF(AND(AND(F196&gt;=42,F196&lt;=44),F197="oui",F200="non"),H203-H209,IF(AND(AND(F196&gt;=42,F196&lt;=44),F197="non",F200="non"),H203-H215,IF(AND(AND(F196&gt;=42,F196&lt;=44),F197="oui",F200="oui"),H204-H209,IF(AND(AND(F196&gt;=42,F196&lt;=44),F197="non",F200="oui"),H204-H215,""))))))</f>
        <v/>
      </c>
      <c r="I223"/>
      <c r="J223" s="67" t="s">
        <v>51</v>
      </c>
      <c r="K223" s="60">
        <v>1</v>
      </c>
      <c r="L223" s="61" t="str">
        <f t="shared" si="43"/>
        <v/>
      </c>
      <c r="M223" s="61" t="str">
        <f>IF(N223="","",N223*L199)</f>
        <v/>
      </c>
      <c r="N223" s="68" t="str">
        <f>IF(AND(OR(L196=42,L196=43,L196=44),L198="oui",L200="non"),N203-N206,IF(AND(L196=42,L197="oui",L200="oui"),N203-N209,IF(AND(OR(L196=42,L196=43),L197="oui",L200="oui"),N203-N210,IF(AND(OR(L196=42,L196=43,L196=44),L197="non",L200="oui"),N203-N215,IF(AND(OR(L196=42,L196=43,L196=44),L197="oui",L200="non"),N203-N209,IF(AND(OR(L196=42,L196=43,L196=44),L197="non",L200="non"),N203-N215,""))))))</f>
        <v/>
      </c>
    </row>
    <row r="224" spans="3:14">
      <c r="C224" s="67" t="s">
        <v>52</v>
      </c>
      <c r="D224" s="60">
        <v>1</v>
      </c>
      <c r="E224" s="105" t="str">
        <f t="shared" si="40"/>
        <v/>
      </c>
      <c r="F224" s="83" t="str">
        <f t="shared" si="47"/>
        <v/>
      </c>
      <c r="G224" s="75" t="str">
        <f t="shared" si="46"/>
        <v/>
      </c>
      <c r="H224" s="82" t="str">
        <f>IF(AND(OR(F196=45,F196=46,F196=47,F196=48,F196=49),H203&lt;&gt;"",H206&lt;&gt;""),H203-H206,IF(AND(OR(F196=45,F196=46,F196=47,F196=48,F196=49),H204&lt;&gt;"",H206&lt;&gt;""),H204-H206,IF(AND(OR(F196=45,F196=46),F197="oui",F200="non"),H203-H210,IF(AND(OR(F196=45,F196=46),F197="non",F200="non"),H203-H215,IF(AND(AND(F196&gt;=47,F196&lt;=49),F197="oui",F200="non"),H203-H210,IF(AND(AND(F196&gt;=47,F196&lt;=49),F197="non",F200="non"),H203-H216,IF(AND(OR(F196=45,F196=46),F197="oui",F200="oui"),H204-H210,IF(AND(OR(F196=45,F196=46),F197="non",F200="oui"),H204-H215,IF(AND(AND(F196&gt;=47,F196&lt;=49),F197="oui",F200="oui"),H204-H210,IF(AND(AND(F196&gt;=47,F196&lt;=49),F197="non",F200="oui"),H204-H216,""))))))))))</f>
        <v/>
      </c>
      <c r="I224"/>
      <c r="J224" s="67" t="s">
        <v>52</v>
      </c>
      <c r="K224" s="60">
        <v>1</v>
      </c>
      <c r="L224" s="61" t="str">
        <f t="shared" si="43"/>
        <v/>
      </c>
      <c r="M224" s="61" t="str">
        <f>IF(N224="","",N224*L199)</f>
        <v/>
      </c>
      <c r="N224" s="68" t="str">
        <f>IF(AND(AND(L196&gt;=45,L196&lt;=49),L198="oui",L200="non"),N203-N206,IF(AND(OR(L196=45,L196=46,L196=47),L197="oui",L200="oui"),N203-N210,IF(AND(OR(L196=48,L196=49),L197="oui",L200="oui"),N203-N211,IF(AND(AND(L196&gt;=45,L196&lt;=49),L197="non",L200="oui"),N203-N216,IF(AND(AND(L196&gt;=45,L196&lt;=49),L197="oui",L200="non"),N203-N210,IF(AND(OR(L196=45,L196=46),L197="non",L200="non"),N203-N215,IF(AND(AND(L196&gt;=47,L196&lt;=49),L197="non",L200="non"),N203-N216,"")))))))</f>
        <v/>
      </c>
    </row>
    <row r="225" spans="3:14" ht="15" thickBot="1">
      <c r="C225" s="69" t="s">
        <v>53</v>
      </c>
      <c r="D225" s="70">
        <v>1</v>
      </c>
      <c r="E225" s="104" t="str">
        <f t="shared" si="40"/>
        <v/>
      </c>
      <c r="F225" s="86" t="str">
        <f t="shared" si="47"/>
        <v/>
      </c>
      <c r="G225" s="84" t="str">
        <f t="shared" si="46"/>
        <v/>
      </c>
      <c r="H225" s="85" t="str">
        <f>IF(AND(F196=50,H203&lt;&gt;"",H206&lt;&gt;""),H203-H206,IF(AND(F196=50,H204&lt;&gt;"",H206&lt;&gt;""),H204-H206,IF(AND(F196=50,F197="oui",F200="non"),H203-H211,IF(AND(F196=50,F197="non",F200="non"),H203-H216,IF(AND(F196=50,F197="oui",F200="oui"),H204-H211,IF(AND(F196=50,F197="non",F200="oui"),H204-H216,""))))))</f>
        <v/>
      </c>
      <c r="I225"/>
      <c r="J225" s="69" t="s">
        <v>53</v>
      </c>
      <c r="K225" s="70">
        <v>1</v>
      </c>
      <c r="L225" s="71" t="str">
        <f t="shared" si="43"/>
        <v/>
      </c>
      <c r="M225" s="71" t="str">
        <f>IF(N225="","",N225*L199)</f>
        <v/>
      </c>
      <c r="N225" s="236" t="str">
        <f>IF(AND(L196=50,L198="oui",L200="non"),N203-N206,IF(AND(L196=50,L197="oui",L200="oui"),N203-N211,IF(AND(L196=50,L197="non",L200="oui"),N203-N216,IF(AND(L196=50,L197="oui",L200="non"),N203-N211,IF(AND(L196=50,L197="non",L200="non"),N203-N216,"")))))</f>
        <v/>
      </c>
    </row>
    <row r="226" spans="3:14" ht="15" thickBot="1">
      <c r="C226" s="205" t="s">
        <v>105</v>
      </c>
      <c r="D226" s="206">
        <v>1</v>
      </c>
      <c r="E226" s="207">
        <f t="shared" si="40"/>
        <v>0</v>
      </c>
      <c r="F226" s="197">
        <f>IF(H226="","",ROUNDUP(H226+G226,0))</f>
        <v>0</v>
      </c>
      <c r="G226" s="197">
        <f>IF(H226="","",H226*$F$14)</f>
        <v>0</v>
      </c>
      <c r="H226" s="197">
        <f>IF(F195="","",(IF(OR(F196=30,F196=31),F217/2, IF(OR(F196=32,F196=33),F218/2,IF(OR(F196=34,F196=35),F219/2,IF(OR(F196=36,F196=37),F220/2,IF(OR(F196=38,F196=39),F221/2,IF(OR(F196=40,F196=41),F222/2,IF(OR(F196=42,F196=43,F196=44),F223/2,IF(OR(F196=45,F196=46,F196=47,F196=48,F196=49),F224/2,IF(F196=50,F225/2)))))))))))</f>
        <v>0</v>
      </c>
      <c r="I226"/>
      <c r="J226" s="205" t="s">
        <v>105</v>
      </c>
      <c r="K226" s="206">
        <v>1</v>
      </c>
      <c r="L226" s="197" t="str">
        <f>IF(N226="","",ROUNDUP(N226+M226,0))</f>
        <v/>
      </c>
      <c r="M226" s="197" t="str">
        <f>IF(N226="","",N226*$F$14)</f>
        <v/>
      </c>
      <c r="N226" s="197" t="str">
        <f>IF(L195="","",(IF(L200="oui",L193,(IF(OR(L196=30,L196=31),L217/2, IF(OR(L196=32,L196=33),L218/2,IF(OR(L196=34,L196=35),L219/2,IF(OR(L196=36,L196=37),L220/2,IF(OR(L196=38,L196=39),L221/2,IF(OR(L196=40,L196=41),L222/2,IF(OR(L196=42,L196=43,L196=44),L223/2,IF(OR(L196=45,L196=46,L196=47,L196=48,L196=49),L224/2,IF(L196=50,L225/2)))))))))))))</f>
        <v/>
      </c>
    </row>
    <row r="227" spans="3:14" ht="15" thickBot="1"/>
    <row r="228" spans="3:14" ht="15" thickBot="1">
      <c r="C228" s="337" t="s">
        <v>200</v>
      </c>
      <c r="D228" s="338"/>
      <c r="E228" s="338"/>
      <c r="F228" s="339"/>
      <c r="J228" s="337" t="s">
        <v>201</v>
      </c>
      <c r="K228" s="338"/>
      <c r="L228" s="339"/>
    </row>
    <row r="229" spans="3:14">
      <c r="C229" s="340" t="s">
        <v>15</v>
      </c>
      <c r="D229" s="340"/>
      <c r="E229" s="175"/>
      <c r="F229" s="101" t="s">
        <v>25</v>
      </c>
      <c r="G229" s="176"/>
      <c r="H229" s="40"/>
      <c r="J229" s="341" t="s">
        <v>128</v>
      </c>
      <c r="K229" s="341"/>
      <c r="L229" s="177" t="s">
        <v>25</v>
      </c>
      <c r="M229" s="178"/>
      <c r="N229" s="178"/>
    </row>
    <row r="230" spans="3:14">
      <c r="C230" s="336" t="s">
        <v>26</v>
      </c>
      <c r="D230" s="336"/>
      <c r="E230" s="179"/>
      <c r="F230" s="14">
        <v>0</v>
      </c>
      <c r="G230" s="19"/>
      <c r="H230" s="180"/>
      <c r="J230" s="336" t="s">
        <v>26</v>
      </c>
      <c r="K230" s="336"/>
      <c r="L230" s="42"/>
      <c r="M230" s="181"/>
      <c r="N230" s="182"/>
    </row>
    <row r="231" spans="3:14" ht="14.25" customHeight="1">
      <c r="C231" s="336" t="s">
        <v>27</v>
      </c>
      <c r="D231" s="336"/>
      <c r="E231" s="179"/>
      <c r="F231" s="14">
        <v>0</v>
      </c>
      <c r="G231" s="19"/>
      <c r="H231" s="180"/>
      <c r="J231" s="336" t="s">
        <v>27</v>
      </c>
      <c r="K231" s="336"/>
      <c r="L231" s="42"/>
      <c r="M231" s="181"/>
      <c r="N231" s="182"/>
    </row>
    <row r="232" spans="3:14">
      <c r="C232" s="336" t="s">
        <v>28</v>
      </c>
      <c r="D232" s="336"/>
      <c r="E232" s="179"/>
      <c r="F232" s="14">
        <v>0</v>
      </c>
      <c r="G232" s="19"/>
      <c r="H232" s="180"/>
      <c r="J232" s="336" t="s">
        <v>28</v>
      </c>
      <c r="K232" s="336"/>
      <c r="L232" s="42"/>
      <c r="M232" s="181"/>
      <c r="N232" s="182"/>
    </row>
    <row r="233" spans="3:14">
      <c r="C233" s="336" t="s">
        <v>29</v>
      </c>
      <c r="D233" s="336"/>
      <c r="E233" s="179"/>
      <c r="F233" s="14">
        <v>35</v>
      </c>
      <c r="G233" s="19"/>
      <c r="H233" s="180"/>
      <c r="J233" s="336" t="s">
        <v>136</v>
      </c>
      <c r="K233" s="336"/>
      <c r="L233" s="14"/>
      <c r="M233" s="181"/>
      <c r="N233" s="182"/>
    </row>
    <row r="234" spans="3:14">
      <c r="C234" s="336" t="s">
        <v>270</v>
      </c>
      <c r="D234" s="336"/>
      <c r="E234" s="179"/>
      <c r="F234" s="14" t="s">
        <v>33</v>
      </c>
      <c r="G234" s="19"/>
      <c r="H234" s="180"/>
      <c r="J234" s="336" t="s">
        <v>270</v>
      </c>
      <c r="K234" s="336"/>
      <c r="L234" s="14"/>
      <c r="M234" s="181"/>
      <c r="N234" s="182"/>
    </row>
    <row r="235" spans="3:14">
      <c r="C235" s="336" t="s">
        <v>272</v>
      </c>
      <c r="D235" s="336"/>
      <c r="E235" s="179"/>
      <c r="F235" s="14" t="s">
        <v>33</v>
      </c>
      <c r="G235" s="19"/>
      <c r="H235" s="180"/>
      <c r="J235" s="331" t="s">
        <v>269</v>
      </c>
      <c r="K235" s="332"/>
      <c r="L235" s="14"/>
      <c r="M235" s="181"/>
      <c r="N235" s="182"/>
    </row>
    <row r="236" spans="3:14">
      <c r="C236" s="336" t="s">
        <v>146</v>
      </c>
      <c r="D236" s="336"/>
      <c r="E236" s="179"/>
      <c r="F236" s="15">
        <v>0</v>
      </c>
      <c r="G236" s="16"/>
      <c r="H236"/>
      <c r="J236" s="336" t="s">
        <v>135</v>
      </c>
      <c r="K236" s="336"/>
      <c r="L236" s="15"/>
      <c r="M236" s="183"/>
      <c r="N236" s="184"/>
    </row>
    <row r="237" spans="3:14">
      <c r="C237" s="334" t="s">
        <v>250</v>
      </c>
      <c r="D237" s="334"/>
      <c r="E237" s="179"/>
      <c r="F237" s="239" t="s">
        <v>65</v>
      </c>
      <c r="G237" s="185"/>
      <c r="H237"/>
      <c r="J237" s="334" t="s">
        <v>252</v>
      </c>
      <c r="K237" s="334"/>
      <c r="L237" s="239"/>
      <c r="M237" s="181"/>
      <c r="N237" s="182"/>
    </row>
    <row r="238" spans="3:14" ht="15" thickBot="1">
      <c r="C238"/>
      <c r="D238"/>
      <c r="E238"/>
      <c r="H238"/>
      <c r="J238" s="335"/>
      <c r="K238" s="335"/>
      <c r="L238" s="41"/>
      <c r="M238" s="41"/>
      <c r="N238" s="186"/>
    </row>
    <row r="239" spans="3:14">
      <c r="C239" s="187" t="s">
        <v>34</v>
      </c>
      <c r="D239" s="188" t="s">
        <v>35</v>
      </c>
      <c r="E239" s="188"/>
      <c r="F239" s="188" t="s">
        <v>25</v>
      </c>
      <c r="G239" s="80" t="str">
        <f>IF(H239="","",H239*F236)</f>
        <v/>
      </c>
      <c r="H239" s="81"/>
      <c r="I239"/>
      <c r="J239" s="189" t="s">
        <v>34</v>
      </c>
      <c r="K239" s="189" t="s">
        <v>35</v>
      </c>
      <c r="L239" s="177" t="s">
        <v>25</v>
      </c>
      <c r="M239" s="178"/>
      <c r="N239" s="178"/>
    </row>
    <row r="240" spans="3:14">
      <c r="C240" s="67" t="s">
        <v>38</v>
      </c>
      <c r="D240" s="60">
        <v>1</v>
      </c>
      <c r="E240" s="102">
        <f>F240</f>
        <v>0</v>
      </c>
      <c r="F240" s="74">
        <f>IF(H240="","",ROUNDUP(G240+H240,0))</f>
        <v>0</v>
      </c>
      <c r="G240" s="75">
        <f>IF(H240="","",H240*F236)</f>
        <v>0</v>
      </c>
      <c r="H240" s="82">
        <f>IF(OR(F237="oui",F237=""),"",IF((F237="non"),IF(OR(F230="",F232=""),"",(F230+F232)*2)))</f>
        <v>0</v>
      </c>
      <c r="I240"/>
      <c r="J240" s="59" t="s">
        <v>134</v>
      </c>
      <c r="K240" s="60">
        <v>1</v>
      </c>
      <c r="L240" s="61" t="str">
        <f>IF(N240="","",ROUNDUP(N240+M240+1,0))</f>
        <v/>
      </c>
      <c r="M240" s="61" t="str">
        <f>IF(N240="","",N240*L236)</f>
        <v/>
      </c>
      <c r="N240" s="62" t="str">
        <f>IF(OR(L230="",L231=""),"",IF(L237="non",((L230*2)+(L231*2)),IF(L237="oui",((L230*2)+(L232*2)))))</f>
        <v/>
      </c>
    </row>
    <row r="241" spans="3:14">
      <c r="C241" s="67" t="s">
        <v>249</v>
      </c>
      <c r="D241" s="60">
        <v>1</v>
      </c>
      <c r="E241" s="102" t="str">
        <f>F241</f>
        <v/>
      </c>
      <c r="F241" s="74" t="str">
        <f>IF(H241="","",ROUNDUP(G241+H241,0))</f>
        <v/>
      </c>
      <c r="G241" s="75" t="str">
        <f>IF(H241="","",H241*F236)</f>
        <v/>
      </c>
      <c r="H241" s="82" t="str">
        <f>IF(OR(F237="non",F237=""),"",IF((F237="oui"),IF(OR(F230="",F232=""),"",(F230+F232)*2)))</f>
        <v/>
      </c>
      <c r="I241"/>
      <c r="J241" s="59" t="s">
        <v>253</v>
      </c>
      <c r="K241" s="60">
        <v>1</v>
      </c>
      <c r="L241" s="61" t="str">
        <f>IF(N241="","",ROUNDUP(N241+M241+1,0))</f>
        <v/>
      </c>
      <c r="M241" s="61" t="str">
        <f>IF(N241="","",N241*L236)</f>
        <v/>
      </c>
      <c r="N241" s="62" t="str">
        <f>IF(L237="oui",N240,"")</f>
        <v/>
      </c>
    </row>
    <row r="242" spans="3:14" ht="15" thickBot="1">
      <c r="C242" s="69" t="s">
        <v>39</v>
      </c>
      <c r="D242" s="70">
        <v>100</v>
      </c>
      <c r="E242" s="104">
        <f>F242</f>
        <v>0</v>
      </c>
      <c r="F242" s="190">
        <f>IF(H242="","",ROUNDUP(G242+H242,0))</f>
        <v>0</v>
      </c>
      <c r="G242" s="191">
        <f>IF(H242="","",H242*F236)</f>
        <v>0</v>
      </c>
      <c r="H242" s="85">
        <f>IF(AND(H240="",H241=""),"",IF(H240&lt;&gt;"",(H240*3)/100,IF(H241&lt;&gt;"",(H241*3)/100)))</f>
        <v>0</v>
      </c>
      <c r="I242"/>
      <c r="J242" s="77" t="s">
        <v>39</v>
      </c>
      <c r="K242" s="78">
        <v>100</v>
      </c>
      <c r="L242" s="192" t="str">
        <f>IF(N242="","",ROUNDUP(N242+M242,0))</f>
        <v/>
      </c>
      <c r="M242" s="192" t="str">
        <f>IF(N242="","",N242*L236)</f>
        <v/>
      </c>
      <c r="N242" s="193" t="str">
        <f>IF(N240="","",(L240*4)/100)</f>
        <v/>
      </c>
    </row>
    <row r="243" spans="3:14" ht="15" thickBot="1">
      <c r="C243" s="312" t="s">
        <v>262</v>
      </c>
      <c r="D243" s="64">
        <v>1</v>
      </c>
      <c r="E243" s="194">
        <f t="shared" ref="E243:E263" si="48">F243</f>
        <v>0</v>
      </c>
      <c r="F243" s="195">
        <f t="shared" ref="F243:F255" si="49">IF(H243="","",ROUNDUP(H243+G243,0))</f>
        <v>0</v>
      </c>
      <c r="G243" s="196">
        <f t="shared" ref="G243" si="50">IF(H243="","",H243*$F$14)</f>
        <v>0</v>
      </c>
      <c r="H243" s="197">
        <f>IF(AND(F234="oui",F235="oui",F237="non"),H240-(F232*4),IF(AND(F234="oui",F235="oui",F237="oui"),H241-(F232*4),""))</f>
        <v>0</v>
      </c>
      <c r="I243"/>
      <c r="J243" s="312" t="s">
        <v>262</v>
      </c>
      <c r="K243" s="198">
        <v>1</v>
      </c>
      <c r="L243" s="199" t="str">
        <f t="shared" ref="L243:L262" si="51">IF(N243="","",ROUNDUP(N243+M243,0))</f>
        <v/>
      </c>
      <c r="M243" s="199" t="str">
        <f>IF(N243="","",N243*L236)</f>
        <v/>
      </c>
      <c r="N243" s="200" t="str">
        <f>IF(AND(L234="oui",L235="oui",L237="non"),((L230-L231)*2),"")</f>
        <v/>
      </c>
    </row>
    <row r="244" spans="3:14">
      <c r="C244" s="313" t="s">
        <v>263</v>
      </c>
      <c r="D244" s="64">
        <v>1</v>
      </c>
      <c r="E244" s="103" t="str">
        <f t="shared" si="48"/>
        <v/>
      </c>
      <c r="F244" s="87" t="str">
        <f t="shared" si="49"/>
        <v/>
      </c>
      <c r="G244" s="201" t="str">
        <f>IF(H244="","",H244*$F$14)</f>
        <v/>
      </c>
      <c r="H244" s="173" t="str">
        <f>IF(F235="oui","",IF(AND(AND(F233&gt;=30,F233&lt;=34),F234="oui",F235="non",F237="non"),H240-(F232*4),IF(AND(AND(F233&gt;=30,F233&lt;=34),F234="oui",F235="non",F237="oui"),H241-(F232*4),"")))</f>
        <v/>
      </c>
      <c r="I244"/>
      <c r="J244" s="313" t="s">
        <v>263</v>
      </c>
      <c r="K244" s="89">
        <v>1</v>
      </c>
      <c r="L244" s="73" t="str">
        <f t="shared" si="51"/>
        <v/>
      </c>
      <c r="M244" s="73" t="str">
        <f>IF(N244="","",N244*L236)</f>
        <v/>
      </c>
      <c r="N244" s="202" t="str">
        <f>IF(L235="oui","",IF(AND(L233&gt;=30,L233&lt;=34,L234="oui",L237="non"),((L230-L231)*2),IF(AND(AND(L233&gt;=30,L233&lt;=32),L234="oui",L237="oui"),((L230-L232)*2),"")))</f>
        <v/>
      </c>
    </row>
    <row r="245" spans="3:14">
      <c r="C245" s="67" t="s">
        <v>264</v>
      </c>
      <c r="D245" s="60">
        <v>1</v>
      </c>
      <c r="E245" s="102" t="str">
        <f t="shared" si="48"/>
        <v/>
      </c>
      <c r="F245" s="76" t="str">
        <f t="shared" si="49"/>
        <v/>
      </c>
      <c r="G245" s="201" t="str">
        <f t="shared" ref="G245:G248" si="52">IF(H245="","",H245*$F$14)</f>
        <v/>
      </c>
      <c r="H245" s="82" t="str">
        <f>IF(F235="oui","",IF(AND(AND(F233&gt;=35,F233&lt;=39),F234="oui",F237="non"),H240-(F232*4),IF(AND(AND(F233&gt;=35,F233&lt;=39),F234="oui",F237="oui"),H241-(F232*4),"")))</f>
        <v/>
      </c>
      <c r="I245"/>
      <c r="J245" s="67" t="s">
        <v>264</v>
      </c>
      <c r="K245" s="60">
        <v>1</v>
      </c>
      <c r="L245" s="61" t="str">
        <f t="shared" si="51"/>
        <v/>
      </c>
      <c r="M245" s="61" t="str">
        <f>IF(N245="","",N245*L236)</f>
        <v/>
      </c>
      <c r="N245" s="68" t="str">
        <f>IF(L235="oui","",IF(AND(L233&gt;=35,L233&lt;=39,L234="oui",L237="non"),((L230-L231)*2),IF(AND(AND(L233&gt;=33,L233&lt;=37),L234="oui",L237="oui"),((L230-L232)*2),"")))</f>
        <v/>
      </c>
    </row>
    <row r="246" spans="3:14">
      <c r="C246" s="67" t="s">
        <v>265</v>
      </c>
      <c r="D246" s="60">
        <v>1</v>
      </c>
      <c r="E246" s="102" t="str">
        <f t="shared" si="48"/>
        <v/>
      </c>
      <c r="F246" s="76" t="str">
        <f t="shared" si="49"/>
        <v/>
      </c>
      <c r="G246" s="201" t="str">
        <f t="shared" si="52"/>
        <v/>
      </c>
      <c r="H246" s="82" t="str">
        <f>IF(F235="oui","",IF(AND(AND(F233&gt;=40,F233&lt;=44),F234="oui",F237="non"),H240-(F232*4),IF(AND(AND(F233&gt;=40,F233&lt;=44),F234="oui",F237="oui"),H241-(F232*4),"")))</f>
        <v/>
      </c>
      <c r="I246"/>
      <c r="J246" s="67" t="s">
        <v>265</v>
      </c>
      <c r="K246" s="60">
        <v>1</v>
      </c>
      <c r="L246" s="61" t="str">
        <f t="shared" si="51"/>
        <v/>
      </c>
      <c r="M246" s="61" t="str">
        <f>IF(N246="","",N246*L236)</f>
        <v/>
      </c>
      <c r="N246" s="68" t="str">
        <f>IF(L235="oui","",IF(AND(L233&gt;=40,L233&lt;=44,L234="oui",L237="non"),((L230-L231)*2),IF(AND(AND(L233&gt;=38,L233&lt;=42),L234="oui",L237="oui"),((L230-L232)*2),"")))</f>
        <v/>
      </c>
    </row>
    <row r="247" spans="3:14">
      <c r="C247" s="67" t="s">
        <v>266</v>
      </c>
      <c r="D247" s="60">
        <v>1</v>
      </c>
      <c r="E247" s="102" t="str">
        <f t="shared" si="48"/>
        <v/>
      </c>
      <c r="F247" s="76" t="str">
        <f t="shared" si="49"/>
        <v/>
      </c>
      <c r="G247" s="201" t="str">
        <f t="shared" si="52"/>
        <v/>
      </c>
      <c r="H247" s="82" t="str">
        <f>IF(F235="oui","",IF(AND(AND(F233&gt;=45,F233&lt;=49),F234="oui",F237="non"),H240-(F232*4),IF(AND(AND(F233&gt;=45,F233&lt;=49),F234="oui",F237="oui"),H241-(F232*4),"")))</f>
        <v/>
      </c>
      <c r="I247"/>
      <c r="J247" s="67" t="s">
        <v>266</v>
      </c>
      <c r="K247" s="60">
        <v>1</v>
      </c>
      <c r="L247" s="61" t="str">
        <f t="shared" si="51"/>
        <v/>
      </c>
      <c r="M247" s="61" t="str">
        <f>IF(N247="","",N247*L236)</f>
        <v/>
      </c>
      <c r="N247" s="68" t="str">
        <f>IF(L235="oui","",IF(AND(L233&gt;=45,L233&lt;=49,L234="oui",L237="non"),((L230-L231)*2),IF(AND(AND(L233&gt;=43,L233&lt;=47),L234="oui",L237="oui"),((L230-L232)*2),"")))</f>
        <v/>
      </c>
    </row>
    <row r="248" spans="3:14" ht="15" thickBot="1">
      <c r="C248" s="69" t="s">
        <v>267</v>
      </c>
      <c r="D248" s="70">
        <v>1</v>
      </c>
      <c r="E248" s="104" t="str">
        <f t="shared" si="48"/>
        <v/>
      </c>
      <c r="F248" s="83" t="str">
        <f t="shared" si="49"/>
        <v/>
      </c>
      <c r="G248" s="201" t="str">
        <f t="shared" si="52"/>
        <v/>
      </c>
      <c r="H248" s="85" t="str">
        <f>IF(F235="oui","",IF(AND(F233=50,F234="oui",F237="non"),H240-(F232*4),IF(AND(F233=50,F234="oui",F237="oui"),H241-(F232*4),"")))</f>
        <v/>
      </c>
      <c r="I248"/>
      <c r="J248" s="69" t="s">
        <v>267</v>
      </c>
      <c r="K248" s="70">
        <v>1</v>
      </c>
      <c r="L248" s="71" t="str">
        <f t="shared" si="51"/>
        <v/>
      </c>
      <c r="M248" s="71" t="str">
        <f>IF(N248="","",N248*L236)</f>
        <v/>
      </c>
      <c r="N248" s="72" t="str">
        <f>IF(L235="oui","",IF(AND(L233=50,L234="oui",L237="non"),((L230-L231)*2),IF(AND(AND(L233&gt;=48,L233&lt;=50),L234="oui",L237="oui"),((L230-L232)*2),"")))</f>
        <v/>
      </c>
    </row>
    <row r="249" spans="3:14">
      <c r="C249" s="63" t="s">
        <v>40</v>
      </c>
      <c r="D249" s="64">
        <v>1</v>
      </c>
      <c r="E249" s="103" t="str">
        <f t="shared" si="48"/>
        <v/>
      </c>
      <c r="F249" s="79" t="str">
        <f t="shared" si="49"/>
        <v/>
      </c>
      <c r="G249" s="80" t="str">
        <f>IF(H249="","",H249*$F$14)</f>
        <v/>
      </c>
      <c r="H249" s="81" t="str">
        <f>IF(F235="oui","",IF(AND(OR(F233=30,F233=31),F234="non",F237="non"),H240-(F232*4),IF(AND(OR(F233=30,F233=31),F234="non",F237="oui"),H241-(F232*4),"")))</f>
        <v/>
      </c>
      <c r="I249"/>
      <c r="J249" s="63" t="s">
        <v>40</v>
      </c>
      <c r="K249" s="64">
        <v>1</v>
      </c>
      <c r="L249" s="65" t="str">
        <f t="shared" si="51"/>
        <v/>
      </c>
      <c r="M249" s="65" t="str">
        <f>IF(N249="","",N249*L236)</f>
        <v/>
      </c>
      <c r="N249" s="66" t="str">
        <f>IF(AND(OR(L233=30,L233=31),L234="non",L237="non"),((L230-L231)*2),"")</f>
        <v/>
      </c>
    </row>
    <row r="250" spans="3:14">
      <c r="C250" s="67" t="s">
        <v>41</v>
      </c>
      <c r="D250" s="60">
        <v>1</v>
      </c>
      <c r="E250" s="102" t="str">
        <f t="shared" si="48"/>
        <v/>
      </c>
      <c r="F250" s="76" t="str">
        <f t="shared" si="49"/>
        <v/>
      </c>
      <c r="G250" s="75" t="str">
        <f t="shared" ref="G250:G253" si="53">IF(H250="","",H250*$F$14)</f>
        <v/>
      </c>
      <c r="H250" s="82" t="str">
        <f>IF(F235="oui","",IF(AND(AND(F233&gt;=32,F233&lt;=36),F234="non",F237="non"),H240-(F232*4),IF(AND(AND(F233&gt;=32,F233&lt;=36),F234="non",F237="oui"),H241-(F232*4),"")))</f>
        <v/>
      </c>
      <c r="I250"/>
      <c r="J250" s="67" t="s">
        <v>41</v>
      </c>
      <c r="K250" s="60">
        <v>1</v>
      </c>
      <c r="L250" s="61" t="str">
        <f t="shared" si="51"/>
        <v/>
      </c>
      <c r="M250" s="61" t="str">
        <f>IF(N250="","",N250*L236)</f>
        <v/>
      </c>
      <c r="N250" s="68" t="str">
        <f>IF(L235="oui","",IF(AND(L233&gt;=32,L233&lt;=36,L234="non",L237="non"),((L230-L231)*2),IF(AND(AND(L233&gt;=30,L233&lt;=34),L234="non",L237="oui"),((L230-L232)*2),"")))</f>
        <v/>
      </c>
    </row>
    <row r="251" spans="3:14">
      <c r="C251" s="67" t="s">
        <v>42</v>
      </c>
      <c r="D251" s="60">
        <v>1</v>
      </c>
      <c r="E251" s="102" t="str">
        <f t="shared" si="48"/>
        <v/>
      </c>
      <c r="F251" s="76" t="str">
        <f t="shared" si="49"/>
        <v/>
      </c>
      <c r="G251" s="75" t="str">
        <f t="shared" si="53"/>
        <v/>
      </c>
      <c r="H251" s="82" t="str">
        <f>IF(F235="oui","",IF(AND(AND(F233&gt;=37,F233&lt;=41),F234="non",F237="non"),H240-(F232*4),IF(AND(AND(F233&gt;=37,F233&lt;=41),F234="non",F237="oui"),H241-(F232*4),"")))</f>
        <v/>
      </c>
      <c r="I251"/>
      <c r="J251" s="67" t="s">
        <v>42</v>
      </c>
      <c r="K251" s="60">
        <v>1</v>
      </c>
      <c r="L251" s="61" t="str">
        <f t="shared" si="51"/>
        <v/>
      </c>
      <c r="M251" s="61" t="str">
        <f>IF(N251="","",N251*L236)</f>
        <v/>
      </c>
      <c r="N251" s="68" t="str">
        <f>IF(L235="oui","",IF(AND(L233&gt;=37,L233&lt;=41,L234="non",L237="non"),((L230-L231)*2),IF(AND(AND(L233&gt;=35,L233&lt;=39),L234="non",L237="oui"),((L230-L232)*2),"")))</f>
        <v/>
      </c>
    </row>
    <row r="252" spans="3:14">
      <c r="C252" s="67" t="s">
        <v>43</v>
      </c>
      <c r="D252" s="60">
        <v>1</v>
      </c>
      <c r="E252" s="102" t="str">
        <f t="shared" si="48"/>
        <v/>
      </c>
      <c r="F252" s="76" t="str">
        <f t="shared" si="49"/>
        <v/>
      </c>
      <c r="G252" s="75" t="str">
        <f t="shared" si="53"/>
        <v/>
      </c>
      <c r="H252" s="82" t="str">
        <f>IF(F235="oui","",IF(AND(AND(F233&gt;=42,F233&lt;=46),F234="non",F237="non"),H240-(F232*4),IF(AND(AND(F233&gt;=42,F233&lt;=46),F234="non",F237="oui"),H241-(F232*4),"")))</f>
        <v/>
      </c>
      <c r="I252"/>
      <c r="J252" s="67" t="s">
        <v>43</v>
      </c>
      <c r="K252" s="60">
        <v>1</v>
      </c>
      <c r="L252" s="61" t="str">
        <f t="shared" si="51"/>
        <v/>
      </c>
      <c r="M252" s="61" t="str">
        <f>IF(N252="","",N252*L236)</f>
        <v/>
      </c>
      <c r="N252" s="68" t="str">
        <f>IF(L235="oui","",IF(AND(L233&gt;=42,L233&lt;=46,L234="non",L237="non"),((L230-L231)*2),IF(AND(AND(L233&gt;=40,L233&lt;=44),L234="non",L237="oui"),((L230-L232)*2),"")))</f>
        <v/>
      </c>
    </row>
    <row r="253" spans="3:14" ht="15" thickBot="1">
      <c r="C253" s="69" t="s">
        <v>44</v>
      </c>
      <c r="D253" s="70">
        <v>1</v>
      </c>
      <c r="E253" s="104" t="str">
        <f t="shared" si="48"/>
        <v/>
      </c>
      <c r="F253" s="86" t="str">
        <f t="shared" si="49"/>
        <v/>
      </c>
      <c r="G253" s="84" t="str">
        <f t="shared" si="53"/>
        <v/>
      </c>
      <c r="H253" s="85" t="str">
        <f>IF(F235="oui","",IF(AND(AND(F233&gt;=47,F233&lt;=50),F234="non",F237="non"),H240-(F232*4),IF(AND(AND(F233&gt;=47,F233&lt;=50),F234="non",F237="oui"),H241-(F232*4),"")))</f>
        <v/>
      </c>
      <c r="I253"/>
      <c r="J253" s="69" t="s">
        <v>44</v>
      </c>
      <c r="K253" s="70">
        <v>1</v>
      </c>
      <c r="L253" s="71" t="str">
        <f t="shared" si="51"/>
        <v/>
      </c>
      <c r="M253" s="71" t="str">
        <f>IF(N253="","",N253*L236)</f>
        <v/>
      </c>
      <c r="N253" s="72" t="str">
        <f>IF(L235="oui","",IF(AND(L233&gt;=47,L233&lt;=50,L234="non",L237="non"),((L230-L231)*2),IF(AND(AND(L233&gt;=45,L233&lt;=50),L234="non",L237="oui"),((L230-L232)*2),"")))</f>
        <v/>
      </c>
    </row>
    <row r="254" spans="3:14">
      <c r="C254" s="63" t="s">
        <v>45</v>
      </c>
      <c r="D254" s="64">
        <v>1</v>
      </c>
      <c r="E254" s="103" t="str">
        <f t="shared" si="48"/>
        <v/>
      </c>
      <c r="F254" s="87" t="str">
        <f t="shared" si="49"/>
        <v/>
      </c>
      <c r="G254" s="80" t="str">
        <f>IF(H254="","",H254*$F$14)</f>
        <v/>
      </c>
      <c r="H254" s="88" t="str">
        <f>IF(AND(OR(F233=30,F233=31),H240&lt;&gt;"",H243&lt;&gt;""),H240-H243,IF(AND(OR(F233=30,F233=31),H241&lt;&gt;"",H243&lt;&gt;""),H241-H243,IF(AND(OR(F233=30,F233=31),F234="oui",F237="non"),H240-H244,IF(AND(OR(F233=30,F233=31),F234="non",F237="non"),H240-H249,IF(AND(OR(F233=30,F233=31),F234="oui",F237="oui"),H241-H244,IF(AND(OR(F233=30,F233=31),F234="non",F237="oui"),H241-H249,""))))))</f>
        <v/>
      </c>
      <c r="I254"/>
      <c r="J254" s="63" t="s">
        <v>45</v>
      </c>
      <c r="K254" s="64">
        <v>1</v>
      </c>
      <c r="L254" s="65" t="str">
        <f t="shared" si="51"/>
        <v/>
      </c>
      <c r="M254" s="65" t="str">
        <f>IF(N254="","",N254*L236)</f>
        <v/>
      </c>
      <c r="N254" s="66" t="str">
        <f>IF(AND(OR(L233=30,L233=31),L235="oui",L237="non"),N240-N243,IF(AND(OR(L233=30,L233=31),L234="oui",L237="oui"),N240-N244,IF(AND(OR(L233=30,L233=31),L234="non",L237="oui"),N240-N250,IF(AND(OR(L233=30,L233=31),L234="oui",L237="non"),N240-N244,IF(AND(OR(L233=30,L233=31),L234="non",L237="non"),N240-N249,"")))))</f>
        <v/>
      </c>
    </row>
    <row r="255" spans="3:14">
      <c r="C255" s="67" t="s">
        <v>46</v>
      </c>
      <c r="D255" s="60">
        <v>1</v>
      </c>
      <c r="E255" s="102" t="str">
        <f t="shared" si="48"/>
        <v/>
      </c>
      <c r="F255" s="76" t="str">
        <f t="shared" si="49"/>
        <v/>
      </c>
      <c r="G255" s="75" t="str">
        <f t="shared" ref="G255:G262" si="54">IF(H255="","",H255*$F$14)</f>
        <v/>
      </c>
      <c r="H255" s="82" t="str">
        <f>IF(AND(OR(F233=32,F233=33),H240&lt;&gt;"",H243&lt;&gt;""),H240-H243,IF(AND(OR(F233=32,F233=33),H241&lt;&gt;"",H243&lt;&gt;""),H241-H243,IF(AND(OR(F233=32,F233=33),F234="oui",F237="non"),H240-H244,IF(AND(OR(F233=32,F233=33),F234="non",F237="non"),H240-H250,IF(AND(OR(F233=32,F233=33),F234="oui",F237="oui"),H241-H244,IF(AND(OR(F233=32,F233=33),F234="non",F237="oui"),H241-H250,""))))))</f>
        <v/>
      </c>
      <c r="I255"/>
      <c r="J255" s="67" t="s">
        <v>46</v>
      </c>
      <c r="K255" s="60">
        <v>1</v>
      </c>
      <c r="L255" s="61" t="str">
        <f t="shared" si="51"/>
        <v/>
      </c>
      <c r="M255" s="61" t="str">
        <f>IF(N255="","",N255*L236)</f>
        <v/>
      </c>
      <c r="N255" s="68" t="str">
        <f>IF(AND(OR(L233=32,L233=33),L235="oui",L237="non"),N240-N243,IF(AND(L233=32,L234="oui",L237="oui"),N240-N244,IF(AND(L233=33,L234="oui",L237="oui"),N240-N245,IF(AND(OR(L233=32,L233=33),L234="non",L237="oui"),N240-N250,IF(AND(OR(L233=32,L233=33),L234="oui",L237="non"),N240-N244,IF(AND(OR(L233=32,L233=33),L234="non",L237="non"),N240-N250,""))))))</f>
        <v/>
      </c>
    </row>
    <row r="256" spans="3:14">
      <c r="C256" s="67" t="s">
        <v>47</v>
      </c>
      <c r="D256" s="60">
        <v>1</v>
      </c>
      <c r="E256" s="102">
        <f t="shared" si="48"/>
        <v>0</v>
      </c>
      <c r="F256" s="76">
        <f>IF(H256="","",ROUNDUP(H256+G256,0))</f>
        <v>0</v>
      </c>
      <c r="G256" s="75">
        <f t="shared" si="54"/>
        <v>0</v>
      </c>
      <c r="H256" s="82">
        <f>IF(AND(OR(F233=34,F233=35),H240&lt;&gt;"",H243&lt;&gt;""),H240-H243,IF(AND(OR(F233=34,F233=35),H241&lt;&gt;"",H243&lt;&gt;""),H241-H243,IF(AND(F233=34,F234="oui",F237="non"),H240-H244,IF(AND(F233=35,F234="oui",F237="non"),H240-H245,IF(AND(OR(F233=34,F233=35),F234="non",F237="non"),H240-H250,IF(AND(F233=34,F234="oui",F237="oui"),H241-H244,IF(AND(F233=35,F234="oui",F237="oui"),H241-H245,IF(AND(OR(F233=34,F233=35),F234="non",F237="oui"),H241-H250,""))))))))</f>
        <v>0</v>
      </c>
      <c r="I256"/>
      <c r="J256" s="67" t="s">
        <v>47</v>
      </c>
      <c r="K256" s="60">
        <v>1</v>
      </c>
      <c r="L256" s="61" t="str">
        <f t="shared" si="51"/>
        <v/>
      </c>
      <c r="M256" s="61" t="str">
        <f>IF(N256="","",N256*L236)</f>
        <v/>
      </c>
      <c r="N256" s="68" t="str">
        <f>IF(AND(OR(L233=34,L233=35),L235="oui",L237="non"),N240-N243,IF(AND(OR(L233=34,L233=35),L234="oui",L237="oui"),N240-N245,IF(AND(L233=34,L234="non",L237="oui"),N240-N250,IF(AND(L233=35,L234="non",L237="oui"),N240-N251,IF(AND(L233=34,L234="oui",L237="non"),N240-N244,IF(AND(L233=35,L234="oui",L237="non"),N240-N245,IF(AND(OR(L233=34,L233=35),L234="non",L237="non"),N240-N250,"")))))))</f>
        <v/>
      </c>
    </row>
    <row r="257" spans="3:14">
      <c r="C257" s="67" t="s">
        <v>48</v>
      </c>
      <c r="D257" s="60">
        <v>1</v>
      </c>
      <c r="E257" s="102" t="str">
        <f t="shared" si="48"/>
        <v/>
      </c>
      <c r="F257" s="76" t="str">
        <f t="shared" ref="F257:F262" si="55">IF(H257="","",ROUNDUP(H257+G257,0))</f>
        <v/>
      </c>
      <c r="G257" s="75" t="str">
        <f t="shared" si="54"/>
        <v/>
      </c>
      <c r="H257" s="82" t="str">
        <f>IF(AND(OR(F233=36,F233=37),H240&lt;&gt;"",H243&lt;&gt;""),H240-H243,IF(AND(OR(F233=36,F233=37),H241&lt;&gt;"",H243&lt;&gt;""),H241-H243,IF(AND(F233=36,F234="oui",F237="non"),H240-H245,IF(AND(F233=36,F234="non",F237="non"),H240-H250,IF(AND(F233=37,F234="oui",F237="non"),H240-H245,IF(AND(F233=37,F234="non",F237="non"),H240-H251,IF(AND(F233=36,F234="oui",F237="oui"),H241-H245,IF(AND(F233=36,F234="non",F237="oui"),H241-H250,IF(AND(F233=37,F234="oui",F237="oui"),H241-H245,IF(AND(F233=37,F234="non",F237="oui"),H241-H251,""))))))))))</f>
        <v/>
      </c>
      <c r="I257"/>
      <c r="J257" s="67" t="s">
        <v>48</v>
      </c>
      <c r="K257" s="60">
        <v>1</v>
      </c>
      <c r="L257" s="61" t="str">
        <f t="shared" si="51"/>
        <v/>
      </c>
      <c r="M257" s="61" t="str">
        <f>IF(N257="","",N257*L236)</f>
        <v/>
      </c>
      <c r="N257" s="68" t="str">
        <f>IF(AND(OR(L233=36,L233=37),L235="oui",L237="non"),N240-N243,IF(AND(OR(L233=36,L233=37),L234="oui",L237="oui"),N240-N245,IF(AND(OR(L233=36,L233=37),L234="non",L237="oui"),N240-N251,IF(AND(OR(L233=36,L233=37),L234="oui",L237="non"),N240-N245,IF(AND(L233=36,L234="non",L237="non"),N240-N250,IF(AND(L233=37,L234="non",L237="non"),N240-N251,""))))))</f>
        <v/>
      </c>
    </row>
    <row r="258" spans="3:14">
      <c r="C258" s="67" t="s">
        <v>49</v>
      </c>
      <c r="D258" s="60">
        <v>1</v>
      </c>
      <c r="E258" s="102" t="str">
        <f t="shared" si="48"/>
        <v/>
      </c>
      <c r="F258" s="76" t="str">
        <f t="shared" si="55"/>
        <v/>
      </c>
      <c r="G258" s="75" t="str">
        <f t="shared" si="54"/>
        <v/>
      </c>
      <c r="H258" s="82" t="str">
        <f>IF(AND(OR(F233=38,F233=39),H240&lt;&gt;"",H243&lt;&gt;""),H240-H243,IF(AND(OR(F233=36,F233=37),H241&lt;&gt;"",H243&lt;&gt;""),H241-H243,IF(AND(OR(F233=38,F233=39),F234="oui",F237="non"),H240-H245,IF(AND(OR(F233=38,F233=39),F234="non",F237="non"),H240-H251,IF(AND(OR(F233=38,F233=39),F234="oui",F237="oui"),H241-H245,IF(AND(OR(F233=38,F233=39),F234="non",F237="oui"),H241-H251,""))))))</f>
        <v/>
      </c>
      <c r="I258"/>
      <c r="J258" s="67" t="s">
        <v>49</v>
      </c>
      <c r="K258" s="60">
        <v>1</v>
      </c>
      <c r="L258" s="61" t="str">
        <f t="shared" si="51"/>
        <v/>
      </c>
      <c r="M258" s="61" t="str">
        <f>IF(N258="","",N258*L236)</f>
        <v/>
      </c>
      <c r="N258" s="68" t="str">
        <f>IF(AND(OR(L233=38,L233=39),L235="oui",L237="non"),N240-N243,IF(AND(OR(L233=38,L233=39),L234="oui",L237="oui"),N240-N246,IF(AND(OR(L233=38,L233=39),L234="non",L237="oui"),N240-N251,IF(AND(OR(L233=38,L233=39),L234="oui",L237="non"),N240-N245,IF(AND(OR(L233=38,L233=39),L234="non",L237="non"),N240-N251,"")))))</f>
        <v/>
      </c>
    </row>
    <row r="259" spans="3:14">
      <c r="C259" s="67" t="s">
        <v>50</v>
      </c>
      <c r="D259" s="60">
        <v>1</v>
      </c>
      <c r="E259" s="102" t="str">
        <f t="shared" si="48"/>
        <v/>
      </c>
      <c r="F259" s="76" t="str">
        <f t="shared" si="55"/>
        <v/>
      </c>
      <c r="G259" s="75" t="str">
        <f t="shared" si="54"/>
        <v/>
      </c>
      <c r="H259" s="82" t="str">
        <f>IF(AND(OR(F233=40,F233=41),H240&lt;&gt;"",H243&lt;&gt;""),H240-H243,IF(AND(OR(F233=40,F233=41),H241&lt;&gt;"",H243&lt;&gt;""),H241-H243,IF(AND(OR(F233=40,F233=41),F234="oui",F237="non"),H240-H246,IF(AND(OR(F233=40,F233=41),F234="non",F237="non"),H240-H251,IF(AND(OR(F233=40,F233=41),F234="oui",F237="oui"),H241-H246,IF(AND(OR(F233=40,F233=41),F234="non",F237="oui"),H241-H251,""))))))</f>
        <v/>
      </c>
      <c r="I259"/>
      <c r="J259" s="67" t="s">
        <v>50</v>
      </c>
      <c r="K259" s="60">
        <v>1</v>
      </c>
      <c r="L259" s="61" t="str">
        <f t="shared" si="51"/>
        <v/>
      </c>
      <c r="M259" s="61" t="str">
        <f>IF(N259="","",N259*L236)</f>
        <v/>
      </c>
      <c r="N259" s="68" t="str">
        <f>IF(AND(OR(L233=40,L233=41),L235="oui",L237="non"),N240-N243,IF(AND(OR(L233=40,L233=41),L234="oui",L237="oui"),N240-N246,IF(AND(OR(L233=40,L233=41),L234="non",L237="oui"),N240-N252,IF(AND(OR(L233=40,L233=41),L234="oui",L237="non"),N240-N246,IF(AND(OR(L233=40,L233=41),L234="non",L237="non"),N240-N251,"")))))</f>
        <v/>
      </c>
    </row>
    <row r="260" spans="3:14">
      <c r="C260" s="67" t="s">
        <v>51</v>
      </c>
      <c r="D260" s="60">
        <v>1</v>
      </c>
      <c r="E260" s="102" t="str">
        <f t="shared" si="48"/>
        <v/>
      </c>
      <c r="F260" s="76" t="str">
        <f t="shared" si="55"/>
        <v/>
      </c>
      <c r="G260" s="75" t="str">
        <f t="shared" si="54"/>
        <v/>
      </c>
      <c r="H260" s="82" t="str">
        <f>IF(AND(OR(F233=42,F233=43,F233=44),H240&lt;&gt;"",H243&lt;&gt;""),H240-H243,IF(AND(OR(F233=42,F233=43,F233=44),H241&lt;&gt;"",H243&lt;&gt;""),H241-H243,IF(AND(AND(F233&gt;=42,F233&lt;=44),F234="oui",F237="non"),H240-H246,IF(AND(AND(F233&gt;=42,F233&lt;=44),F234="non",F237="non"),H240-H252,IF(AND(AND(F233&gt;=42,F233&lt;=44),F234="oui",F237="oui"),H241-H246,IF(AND(AND(F233&gt;=42,F233&lt;=44),F234="non",F237="oui"),H241-H252,""))))))</f>
        <v/>
      </c>
      <c r="I260"/>
      <c r="J260" s="67" t="s">
        <v>51</v>
      </c>
      <c r="K260" s="60">
        <v>1</v>
      </c>
      <c r="L260" s="61" t="str">
        <f t="shared" si="51"/>
        <v/>
      </c>
      <c r="M260" s="61" t="str">
        <f>IF(N260="","",N260*L236)</f>
        <v/>
      </c>
      <c r="N260" s="68" t="str">
        <f>IF(AND(OR(L233=42,L233=43,L233=44),L235="oui",L237="non"),N240-N243,IF(AND(L233=42,L234="oui",L237="oui"),N240-N246,IF(AND(OR(L233=42,L233=43),L234="oui",L237="oui"),N240-N247,IF(AND(OR(L233=42,L233=43,L233=44),L234="non",L237="oui"),N240-N252,IF(AND(OR(L233=42,L233=43,L233=44),L234="oui",L237="non"),N240-N246,IF(AND(OR(L233=42,L233=43,L233=44),L234="non",L237="non"),N240-N252,""))))))</f>
        <v/>
      </c>
    </row>
    <row r="261" spans="3:14">
      <c r="C261" s="67" t="s">
        <v>52</v>
      </c>
      <c r="D261" s="60">
        <v>1</v>
      </c>
      <c r="E261" s="105" t="str">
        <f t="shared" si="48"/>
        <v/>
      </c>
      <c r="F261" s="83" t="str">
        <f t="shared" si="55"/>
        <v/>
      </c>
      <c r="G261" s="75" t="str">
        <f t="shared" si="54"/>
        <v/>
      </c>
      <c r="H261" s="82" t="str">
        <f>IF(AND(OR(F233=45,F233=46,F233=47,F233=48,F233=49),H240&lt;&gt;"",H243&lt;&gt;""),H240-H243,IF(AND(OR(F233=45,F233=46,F233=47,F233=48,F233=49),H241&lt;&gt;"",H243&lt;&gt;""),H241-H243,IF(AND(OR(F233=45,F233=46),F234="oui",F237="non"),H240-H247,IF(AND(OR(F233=45,F233=46),F234="non",F237="non"),H240-H252,IF(AND(AND(F233&gt;=47,F233&lt;=49),F234="oui",F237="non"),H240-H247,IF(AND(AND(F233&gt;=47,F233&lt;=49),F234="non",F237="non"),H240-H253,IF(AND(OR(F233=45,F233=46),F234="oui",F237="oui"),H241-H247,IF(AND(OR(F233=45,F233=46),F234="non",F237="oui"),H241-H252,IF(AND(AND(F233&gt;=47,F233&lt;=49),F234="oui",F237="oui"),H241-H247,IF(AND(AND(F233&gt;=47,F233&lt;=49),F234="non",F237="oui"),H241-H253,""))))))))))</f>
        <v/>
      </c>
      <c r="I261"/>
      <c r="J261" s="67" t="s">
        <v>52</v>
      </c>
      <c r="K261" s="60">
        <v>1</v>
      </c>
      <c r="L261" s="61" t="str">
        <f t="shared" si="51"/>
        <v/>
      </c>
      <c r="M261" s="61" t="str">
        <f>IF(N261="","",N261*L236)</f>
        <v/>
      </c>
      <c r="N261" s="68" t="str">
        <f>IF(AND(AND(L233&gt;=45,L233&lt;=49),L235="oui",L237="non"),N240-N243,IF(AND(OR(L233=45,L233=46,L233=47),L234="oui",L237="oui"),N240-N247,IF(AND(OR(L233=48,L233=49),L234="oui",L237="oui"),N240-N248,IF(AND(AND(L233&gt;=45,L233&lt;=49),L234="non",L237="oui"),N240-N253,IF(AND(AND(L233&gt;=45,L233&lt;=49),L234="oui",L237="non"),N240-N247,IF(AND(OR(L233=45,L233=46),L234="non",L237="non"),N240-N252,IF(AND(AND(L233&gt;=47,L233&lt;=49),L234="non",L237="non"),N240-N253,"")))))))</f>
        <v/>
      </c>
    </row>
    <row r="262" spans="3:14" ht="15" thickBot="1">
      <c r="C262" s="69" t="s">
        <v>53</v>
      </c>
      <c r="D262" s="70">
        <v>1</v>
      </c>
      <c r="E262" s="104" t="str">
        <f t="shared" si="48"/>
        <v/>
      </c>
      <c r="F262" s="86" t="str">
        <f t="shared" si="55"/>
        <v/>
      </c>
      <c r="G262" s="84" t="str">
        <f t="shared" si="54"/>
        <v/>
      </c>
      <c r="H262" s="85" t="str">
        <f>IF(AND(F233=50,H240&lt;&gt;"",H243&lt;&gt;""),H240-H243,IF(AND(F233=50,H241&lt;&gt;"",H243&lt;&gt;""),H241-H243,IF(AND(F233=50,F234="oui",F237="non"),H240-H248,IF(AND(F233=50,F234="non",F237="non"),H240-H253,IF(AND(F233=50,F234="oui",F237="oui"),H241-H248,IF(AND(F233=50,F234="non",F237="oui"),H241-H253,""))))))</f>
        <v/>
      </c>
      <c r="I262"/>
      <c r="J262" s="69" t="s">
        <v>53</v>
      </c>
      <c r="K262" s="70">
        <v>1</v>
      </c>
      <c r="L262" s="71" t="str">
        <f t="shared" si="51"/>
        <v/>
      </c>
      <c r="M262" s="71" t="str">
        <f>IF(N262="","",N262*L236)</f>
        <v/>
      </c>
      <c r="N262" s="236" t="str">
        <f>IF(AND(L233=50,L235="oui",L237="non"),N240-N243,IF(AND(L233=50,L234="oui",L237="oui"),N240-N248,IF(AND(L233=50,L234="non",L237="oui"),N240-N253,IF(AND(L233=50,L234="oui",L237="non"),N240-N248,IF(AND(L233=50,L234="non",L237="non"),N240-N253,"")))))</f>
        <v/>
      </c>
    </row>
    <row r="263" spans="3:14" ht="15" thickBot="1">
      <c r="C263" s="205" t="s">
        <v>105</v>
      </c>
      <c r="D263" s="206">
        <v>1</v>
      </c>
      <c r="E263" s="207">
        <f t="shared" si="48"/>
        <v>0</v>
      </c>
      <c r="F263" s="197">
        <f>IF(H263="","",ROUNDUP(H263+G263,0))</f>
        <v>0</v>
      </c>
      <c r="G263" s="197">
        <f>IF(H263="","",H263*$F$14)</f>
        <v>0</v>
      </c>
      <c r="H263" s="197">
        <f>IF(F232="","",(IF(OR(F233=30,F233=31),F254/2, IF(OR(F233=32,F233=33),F255/2,IF(OR(F233=34,F233=35),F256/2,IF(OR(F233=36,F233=37),F257/2,IF(OR(F233=38,F233=39),F258/2,IF(OR(F233=40,F233=41),F259/2,IF(OR(F233=42,F233=43,F233=44),F260/2,IF(OR(F233=45,F233=46,F233=47,F233=48,F233=49),F261/2,IF(F233=50,F262/2)))))))))))</f>
        <v>0</v>
      </c>
      <c r="I263"/>
      <c r="J263" s="205" t="s">
        <v>105</v>
      </c>
      <c r="K263" s="206">
        <v>1</v>
      </c>
      <c r="L263" s="197" t="str">
        <f>IF(N263="","",ROUNDUP(N263+M263,0))</f>
        <v/>
      </c>
      <c r="M263" s="197" t="str">
        <f>IF(N263="","",N263*$F$14)</f>
        <v/>
      </c>
      <c r="N263" s="197" t="str">
        <f>IF(L232="","",(IF(L237="oui",L230,(IF(OR(L233=30,L233=31),L254/2,IF(OR(L233=32,L233=33),L255/2,IF(OR(L233=34,L233=35),L256/2,IF(OR(L233=36,L233=37),L257/2,IF(OR(L233=38,L233=39),L258/2,IF(OR(L233=40,L233=41),L259/2,IF(OR(L233=42,L233=43,L233=44),L260/2,IF(OR(L233=45,L233=46,L233=47,L233=48,L233=49),L261/2,IF(L233=50,L262/2)))))))))))))</f>
        <v/>
      </c>
    </row>
    <row r="264" spans="3:14" ht="15" thickBot="1"/>
    <row r="265" spans="3:14" ht="15" thickBot="1">
      <c r="C265" s="337" t="s">
        <v>202</v>
      </c>
      <c r="D265" s="338"/>
      <c r="E265" s="338"/>
      <c r="F265" s="339"/>
      <c r="J265" s="337" t="s">
        <v>203</v>
      </c>
      <c r="K265" s="338"/>
      <c r="L265" s="339"/>
    </row>
    <row r="266" spans="3:14">
      <c r="C266" s="340" t="s">
        <v>15</v>
      </c>
      <c r="D266" s="340"/>
      <c r="E266" s="175"/>
      <c r="F266" s="101" t="s">
        <v>25</v>
      </c>
      <c r="G266" s="176"/>
      <c r="H266" s="40"/>
      <c r="J266" s="341" t="s">
        <v>128</v>
      </c>
      <c r="K266" s="341"/>
      <c r="L266" s="177" t="s">
        <v>25</v>
      </c>
      <c r="M266" s="178"/>
      <c r="N266" s="178"/>
    </row>
    <row r="267" spans="3:14">
      <c r="C267" s="336" t="s">
        <v>26</v>
      </c>
      <c r="D267" s="336"/>
      <c r="E267" s="179"/>
      <c r="F267" s="14">
        <v>0</v>
      </c>
      <c r="G267" s="19"/>
      <c r="H267" s="180"/>
      <c r="J267" s="336" t="s">
        <v>26</v>
      </c>
      <c r="K267" s="336"/>
      <c r="L267" s="42"/>
      <c r="M267" s="181"/>
      <c r="N267" s="182"/>
    </row>
    <row r="268" spans="3:14" ht="14.25" customHeight="1">
      <c r="C268" s="336" t="s">
        <v>27</v>
      </c>
      <c r="D268" s="336"/>
      <c r="E268" s="179"/>
      <c r="F268" s="14">
        <v>0</v>
      </c>
      <c r="G268" s="19"/>
      <c r="H268" s="180"/>
      <c r="J268" s="336" t="s">
        <v>27</v>
      </c>
      <c r="K268" s="336"/>
      <c r="L268" s="42"/>
      <c r="M268" s="181"/>
      <c r="N268" s="182"/>
    </row>
    <row r="269" spans="3:14">
      <c r="C269" s="336" t="s">
        <v>28</v>
      </c>
      <c r="D269" s="336"/>
      <c r="E269" s="179"/>
      <c r="F269" s="14">
        <v>0</v>
      </c>
      <c r="G269" s="19"/>
      <c r="H269" s="180"/>
      <c r="J269" s="336" t="s">
        <v>28</v>
      </c>
      <c r="K269" s="336"/>
      <c r="L269" s="42"/>
      <c r="M269" s="181"/>
      <c r="N269" s="182"/>
    </row>
    <row r="270" spans="3:14">
      <c r="C270" s="336" t="s">
        <v>29</v>
      </c>
      <c r="D270" s="336"/>
      <c r="E270" s="179"/>
      <c r="F270" s="14">
        <v>35</v>
      </c>
      <c r="G270" s="19"/>
      <c r="H270" s="180"/>
      <c r="J270" s="336" t="s">
        <v>136</v>
      </c>
      <c r="K270" s="336"/>
      <c r="L270" s="14"/>
      <c r="M270" s="181"/>
      <c r="N270" s="182"/>
    </row>
    <row r="271" spans="3:14">
      <c r="C271" s="336" t="s">
        <v>270</v>
      </c>
      <c r="D271" s="336"/>
      <c r="E271" s="179"/>
      <c r="F271" s="14" t="s">
        <v>33</v>
      </c>
      <c r="G271" s="19"/>
      <c r="H271" s="180"/>
      <c r="J271" s="336" t="s">
        <v>270</v>
      </c>
      <c r="K271" s="336"/>
      <c r="L271" s="14"/>
      <c r="M271" s="181"/>
      <c r="N271" s="182"/>
    </row>
    <row r="272" spans="3:14">
      <c r="C272" s="336" t="s">
        <v>272</v>
      </c>
      <c r="D272" s="336"/>
      <c r="E272" s="179"/>
      <c r="F272" s="14" t="s">
        <v>33</v>
      </c>
      <c r="G272" s="19"/>
      <c r="H272" s="180"/>
      <c r="J272" s="331" t="s">
        <v>269</v>
      </c>
      <c r="K272" s="332"/>
      <c r="L272" s="14"/>
      <c r="M272" s="181"/>
      <c r="N272" s="182"/>
    </row>
    <row r="273" spans="3:14">
      <c r="C273" s="336" t="s">
        <v>146</v>
      </c>
      <c r="D273" s="336"/>
      <c r="E273" s="179"/>
      <c r="F273" s="15">
        <v>0</v>
      </c>
      <c r="G273" s="16"/>
      <c r="H273"/>
      <c r="J273" s="336" t="s">
        <v>135</v>
      </c>
      <c r="K273" s="336"/>
      <c r="L273" s="15"/>
      <c r="M273" s="183"/>
      <c r="N273" s="184"/>
    </row>
    <row r="274" spans="3:14">
      <c r="C274" s="334" t="s">
        <v>250</v>
      </c>
      <c r="D274" s="334"/>
      <c r="E274" s="179"/>
      <c r="F274" s="239" t="s">
        <v>65</v>
      </c>
      <c r="G274" s="185"/>
      <c r="H274"/>
      <c r="J274" s="334" t="s">
        <v>252</v>
      </c>
      <c r="K274" s="334"/>
      <c r="L274" s="239"/>
      <c r="M274" s="181"/>
      <c r="N274" s="182"/>
    </row>
    <row r="275" spans="3:14" ht="15" thickBot="1">
      <c r="C275"/>
      <c r="D275"/>
      <c r="E275"/>
      <c r="H275"/>
      <c r="J275" s="335"/>
      <c r="K275" s="335"/>
      <c r="L275" s="41"/>
      <c r="M275" s="41"/>
      <c r="N275" s="186"/>
    </row>
    <row r="276" spans="3:14">
      <c r="C276" s="187" t="s">
        <v>34</v>
      </c>
      <c r="D276" s="188" t="s">
        <v>35</v>
      </c>
      <c r="E276" s="188"/>
      <c r="F276" s="188" t="s">
        <v>25</v>
      </c>
      <c r="G276" s="80" t="str">
        <f>IF(H276="","",H276*F273)</f>
        <v/>
      </c>
      <c r="H276" s="81"/>
      <c r="I276"/>
      <c r="J276" s="189" t="s">
        <v>34</v>
      </c>
      <c r="K276" s="189" t="s">
        <v>35</v>
      </c>
      <c r="L276" s="177" t="s">
        <v>25</v>
      </c>
      <c r="M276" s="178"/>
      <c r="N276" s="178"/>
    </row>
    <row r="277" spans="3:14">
      <c r="C277" s="67" t="s">
        <v>38</v>
      </c>
      <c r="D277" s="60">
        <v>1</v>
      </c>
      <c r="E277" s="102">
        <f>F277</f>
        <v>0</v>
      </c>
      <c r="F277" s="74">
        <f>IF(H277="","",ROUNDUP(G277+H277,0))</f>
        <v>0</v>
      </c>
      <c r="G277" s="75">
        <f>IF(H277="","",H277*F273)</f>
        <v>0</v>
      </c>
      <c r="H277" s="82">
        <f>IF(OR(F274="oui",F274=""),"",IF((F274="non"),IF(OR(F267="",F269=""),"",(F267+F269)*2)))</f>
        <v>0</v>
      </c>
      <c r="I277"/>
      <c r="J277" s="59" t="s">
        <v>134</v>
      </c>
      <c r="K277" s="60">
        <v>1</v>
      </c>
      <c r="L277" s="61" t="str">
        <f>IF(N277="","",ROUNDUP(N277+M277+1,0))</f>
        <v/>
      </c>
      <c r="M277" s="61" t="str">
        <f>IF(N277="","",N277*L273)</f>
        <v/>
      </c>
      <c r="N277" s="62" t="str">
        <f>IF(OR(L267="",L268=""),"",IF(L274="non",((L267*2)+(L268*2)),IF(L274="oui",((L267*2)+(L269*2)))))</f>
        <v/>
      </c>
    </row>
    <row r="278" spans="3:14">
      <c r="C278" s="67" t="s">
        <v>249</v>
      </c>
      <c r="D278" s="60">
        <v>1</v>
      </c>
      <c r="E278" s="102" t="str">
        <f>F278</f>
        <v/>
      </c>
      <c r="F278" s="74" t="str">
        <f>IF(H278="","",ROUNDUP(G278+H278,0))</f>
        <v/>
      </c>
      <c r="G278" s="75" t="str">
        <f>IF(H278="","",H278*F273)</f>
        <v/>
      </c>
      <c r="H278" s="82" t="str">
        <f>IF(OR(F274="non",F274=""),"",IF((F274="oui"),IF(OR(F267="",F269=""),"",(F267+F269)*2)))</f>
        <v/>
      </c>
      <c r="I278"/>
      <c r="J278" s="59" t="s">
        <v>253</v>
      </c>
      <c r="K278" s="60">
        <v>1</v>
      </c>
      <c r="L278" s="61" t="str">
        <f>IF(N278="","",ROUNDUP(N278+M278+1,0))</f>
        <v/>
      </c>
      <c r="M278" s="61" t="str">
        <f>IF(N278="","",N278*L273)</f>
        <v/>
      </c>
      <c r="N278" s="62" t="str">
        <f>IF(L274="oui",N277,"")</f>
        <v/>
      </c>
    </row>
    <row r="279" spans="3:14" ht="15" thickBot="1">
      <c r="C279" s="69" t="s">
        <v>39</v>
      </c>
      <c r="D279" s="70">
        <v>100</v>
      </c>
      <c r="E279" s="104">
        <f>F279</f>
        <v>0</v>
      </c>
      <c r="F279" s="190">
        <f>IF(H279="","",ROUNDUP(G279+H279,0))</f>
        <v>0</v>
      </c>
      <c r="G279" s="191">
        <f>IF(H279="","",H279*F273)</f>
        <v>0</v>
      </c>
      <c r="H279" s="85">
        <f>IF(AND(H277="",H278=""),"",IF(H277&lt;&gt;"",(H277*3)/100,IF(H278&lt;&gt;"",(H278*3)/100)))</f>
        <v>0</v>
      </c>
      <c r="I279"/>
      <c r="J279" s="77" t="s">
        <v>39</v>
      </c>
      <c r="K279" s="78">
        <v>100</v>
      </c>
      <c r="L279" s="192" t="str">
        <f>IF(N279="","",ROUNDUP(N279+M279,0))</f>
        <v/>
      </c>
      <c r="M279" s="192" t="str">
        <f>IF(N279="","",N279*L273)</f>
        <v/>
      </c>
      <c r="N279" s="193" t="str">
        <f>IF(N277="","",(L277*4)/100)</f>
        <v/>
      </c>
    </row>
    <row r="280" spans="3:14" ht="15" thickBot="1">
      <c r="C280" s="312" t="s">
        <v>262</v>
      </c>
      <c r="D280" s="64">
        <v>1</v>
      </c>
      <c r="E280" s="194">
        <f t="shared" ref="E280:E300" si="56">F280</f>
        <v>0</v>
      </c>
      <c r="F280" s="195">
        <f t="shared" ref="F280:F292" si="57">IF(H280="","",ROUNDUP(H280+G280,0))</f>
        <v>0</v>
      </c>
      <c r="G280" s="196">
        <f t="shared" ref="G280" si="58">IF(H280="","",H280*$F$14)</f>
        <v>0</v>
      </c>
      <c r="H280" s="197">
        <f>IF(AND(F271="oui",F272="oui",F274="non"),H277-(F269*4),IF(AND(F271="oui",F272="oui",F274="oui"),H278-(F269*4),""))</f>
        <v>0</v>
      </c>
      <c r="I280"/>
      <c r="J280" s="312" t="s">
        <v>262</v>
      </c>
      <c r="K280" s="198">
        <v>1</v>
      </c>
      <c r="L280" s="199" t="str">
        <f t="shared" ref="L280:L299" si="59">IF(N280="","",ROUNDUP(N280+M280,0))</f>
        <v/>
      </c>
      <c r="M280" s="199" t="str">
        <f>IF(N280="","",N280*L273)</f>
        <v/>
      </c>
      <c r="N280" s="200" t="str">
        <f>IF(AND(L271="oui",L272="oui",L274="non"),((L267-L268)*2),"")</f>
        <v/>
      </c>
    </row>
    <row r="281" spans="3:14">
      <c r="C281" s="313" t="s">
        <v>263</v>
      </c>
      <c r="D281" s="64">
        <v>1</v>
      </c>
      <c r="E281" s="103" t="str">
        <f t="shared" si="56"/>
        <v/>
      </c>
      <c r="F281" s="87" t="str">
        <f t="shared" si="57"/>
        <v/>
      </c>
      <c r="G281" s="201" t="str">
        <f>IF(H281="","",H281*$F$14)</f>
        <v/>
      </c>
      <c r="H281" s="173" t="str">
        <f>IF(F272="oui","",IF(AND(AND(F270&gt;=30,F270&lt;=34),F271="oui",F272="non",F274="non"),H277-(F269*4),IF(AND(AND(F270&gt;=30,F270&lt;=34),F271="oui",F272="non",F274="oui"),H278-(F269*4),"")))</f>
        <v/>
      </c>
      <c r="I281"/>
      <c r="J281" s="313" t="s">
        <v>263</v>
      </c>
      <c r="K281" s="89">
        <v>1</v>
      </c>
      <c r="L281" s="73" t="str">
        <f t="shared" si="59"/>
        <v/>
      </c>
      <c r="M281" s="73" t="str">
        <f>IF(N281="","",N281*L273)</f>
        <v/>
      </c>
      <c r="N281" s="202" t="str">
        <f>IF(L272="oui","",IF(AND(L270&gt;=30,L270&lt;=34,L271="oui",L274="non"),((L267-L268)*2),IF(AND(AND(L270&gt;=30,L270&lt;=32),L271="oui",L274="oui"),((L267-L269)*2),"")))</f>
        <v/>
      </c>
    </row>
    <row r="282" spans="3:14">
      <c r="C282" s="67" t="s">
        <v>264</v>
      </c>
      <c r="D282" s="60">
        <v>1</v>
      </c>
      <c r="E282" s="102" t="str">
        <f t="shared" si="56"/>
        <v/>
      </c>
      <c r="F282" s="76" t="str">
        <f t="shared" si="57"/>
        <v/>
      </c>
      <c r="G282" s="201" t="str">
        <f t="shared" ref="G282:G285" si="60">IF(H282="","",H282*$F$14)</f>
        <v/>
      </c>
      <c r="H282" s="82" t="str">
        <f>IF(F272="oui","",IF(AND(AND(F270&gt;=35,F270&lt;=39),F271="oui",F274="non"),H277-(F269*4),IF(AND(AND(F270&gt;=35,F270&lt;=39),F271="oui",F274="oui"),H278-(F269*4),"")))</f>
        <v/>
      </c>
      <c r="I282"/>
      <c r="J282" s="67" t="s">
        <v>264</v>
      </c>
      <c r="K282" s="60">
        <v>1</v>
      </c>
      <c r="L282" s="61" t="str">
        <f t="shared" si="59"/>
        <v/>
      </c>
      <c r="M282" s="61" t="str">
        <f>IF(N282="","",N282*L273)</f>
        <v/>
      </c>
      <c r="N282" s="68" t="str">
        <f>IF(L272="oui","",IF(AND(L270&gt;=35,L270&lt;=39,L271="oui",L274="non"),((L267-L268)*2),IF(AND(AND(L270&gt;=33,L270&lt;=37),L271="oui",L274="oui"),((L267-L269)*2),"")))</f>
        <v/>
      </c>
    </row>
    <row r="283" spans="3:14">
      <c r="C283" s="67" t="s">
        <v>265</v>
      </c>
      <c r="D283" s="60">
        <v>1</v>
      </c>
      <c r="E283" s="102" t="str">
        <f t="shared" si="56"/>
        <v/>
      </c>
      <c r="F283" s="76" t="str">
        <f t="shared" si="57"/>
        <v/>
      </c>
      <c r="G283" s="201" t="str">
        <f t="shared" si="60"/>
        <v/>
      </c>
      <c r="H283" s="82" t="str">
        <f>IF(F272="oui","",IF(AND(AND(F270&gt;=40,F270&lt;=44),F271="oui",F274="non"),H277-(F269*4),IF(AND(AND(F270&gt;=40,F270&lt;=44),F271="oui",F274="oui"),H278-(F269*4),"")))</f>
        <v/>
      </c>
      <c r="I283"/>
      <c r="J283" s="67" t="s">
        <v>265</v>
      </c>
      <c r="K283" s="60">
        <v>1</v>
      </c>
      <c r="L283" s="61" t="str">
        <f t="shared" si="59"/>
        <v/>
      </c>
      <c r="M283" s="61" t="str">
        <f>IF(N283="","",N283*L273)</f>
        <v/>
      </c>
      <c r="N283" s="68" t="str">
        <f>IF(L272="oui","",IF(AND(L270&gt;=40,L270&lt;=44,L271="oui",L274="non"),((L267-L268)*2),IF(AND(AND(L270&gt;=38,L270&lt;=42),L271="oui",L274="oui"),((L267-L269)*2),"")))</f>
        <v/>
      </c>
    </row>
    <row r="284" spans="3:14">
      <c r="C284" s="67" t="s">
        <v>266</v>
      </c>
      <c r="D284" s="60">
        <v>1</v>
      </c>
      <c r="E284" s="102" t="str">
        <f t="shared" si="56"/>
        <v/>
      </c>
      <c r="F284" s="76" t="str">
        <f t="shared" si="57"/>
        <v/>
      </c>
      <c r="G284" s="201" t="str">
        <f t="shared" si="60"/>
        <v/>
      </c>
      <c r="H284" s="82" t="str">
        <f>IF(F272="oui","",IF(AND(AND(F270&gt;=45,F270&lt;=49),F271="oui",F274="non"),H277-(F269*4),IF(AND(AND(F270&gt;=45,F270&lt;=49),F271="oui",F274="oui"),H278-(F269*4),"")))</f>
        <v/>
      </c>
      <c r="I284"/>
      <c r="J284" s="67" t="s">
        <v>266</v>
      </c>
      <c r="K284" s="60">
        <v>1</v>
      </c>
      <c r="L284" s="61" t="str">
        <f t="shared" si="59"/>
        <v/>
      </c>
      <c r="M284" s="61" t="str">
        <f>IF(N284="","",N284*L273)</f>
        <v/>
      </c>
      <c r="N284" s="68" t="str">
        <f>IF(L272="oui","",IF(AND(L270&gt;=45,L270&lt;=49,L271="oui",L274="non"),((L267-L268)*2),IF(AND(AND(L270&gt;=43,L270&lt;=47),L271="oui",L274="oui"),((L267-L269)*2),"")))</f>
        <v/>
      </c>
    </row>
    <row r="285" spans="3:14" ht="15" thickBot="1">
      <c r="C285" s="69" t="s">
        <v>267</v>
      </c>
      <c r="D285" s="70">
        <v>1</v>
      </c>
      <c r="E285" s="104" t="str">
        <f t="shared" si="56"/>
        <v/>
      </c>
      <c r="F285" s="83" t="str">
        <f t="shared" si="57"/>
        <v/>
      </c>
      <c r="G285" s="201" t="str">
        <f t="shared" si="60"/>
        <v/>
      </c>
      <c r="H285" s="85" t="str">
        <f>IF(F272="oui","",IF(AND(F270=50,F271="oui",F274="non"),H277-(F269*4),IF(AND(F270=50,F271="oui",F274="oui"),H278-(F269*4),"")))</f>
        <v/>
      </c>
      <c r="I285"/>
      <c r="J285" s="69" t="s">
        <v>267</v>
      </c>
      <c r="K285" s="70">
        <v>1</v>
      </c>
      <c r="L285" s="71" t="str">
        <f t="shared" si="59"/>
        <v/>
      </c>
      <c r="M285" s="71" t="str">
        <f>IF(N285="","",N285*L273)</f>
        <v/>
      </c>
      <c r="N285" s="72" t="str">
        <f>IF(L272="oui","",IF(AND(L270=50,L271="oui",L274="non"),((L267-L268)*2),IF(AND(AND(L270&gt;=48,L270&lt;=50),L271="oui",L274="oui"),((L267-L269)*2),"")))</f>
        <v/>
      </c>
    </row>
    <row r="286" spans="3:14">
      <c r="C286" s="63" t="s">
        <v>40</v>
      </c>
      <c r="D286" s="64">
        <v>1</v>
      </c>
      <c r="E286" s="103" t="str">
        <f t="shared" si="56"/>
        <v/>
      </c>
      <c r="F286" s="79" t="str">
        <f t="shared" si="57"/>
        <v/>
      </c>
      <c r="G286" s="80" t="str">
        <f>IF(H286="","",H286*$F$14)</f>
        <v/>
      </c>
      <c r="H286" s="81" t="str">
        <f>IF(F272="oui","",IF(AND(OR(F270=30,F270=31),F271="non",F274="non"),H277-(F269*4),IF(AND(OR(F270=30,F270=31),F271="non",F274="oui"),H278-(F269*4),"")))</f>
        <v/>
      </c>
      <c r="I286"/>
      <c r="J286" s="63" t="s">
        <v>40</v>
      </c>
      <c r="K286" s="64">
        <v>1</v>
      </c>
      <c r="L286" s="65" t="str">
        <f t="shared" si="59"/>
        <v/>
      </c>
      <c r="M286" s="65" t="str">
        <f>IF(N286="","",N286*L273)</f>
        <v/>
      </c>
      <c r="N286" s="66" t="str">
        <f>IF(AND(OR(L270=30,L270=31),L271="non",L274="non"),((L267-L268)*2),"")</f>
        <v/>
      </c>
    </row>
    <row r="287" spans="3:14">
      <c r="C287" s="67" t="s">
        <v>41</v>
      </c>
      <c r="D287" s="60">
        <v>1</v>
      </c>
      <c r="E287" s="102" t="str">
        <f t="shared" si="56"/>
        <v/>
      </c>
      <c r="F287" s="76" t="str">
        <f t="shared" si="57"/>
        <v/>
      </c>
      <c r="G287" s="75" t="str">
        <f t="shared" ref="G287:G290" si="61">IF(H287="","",H287*$F$14)</f>
        <v/>
      </c>
      <c r="H287" s="82" t="str">
        <f>IF(F272="oui","",IF(AND(AND(F270&gt;=32,F270&lt;=36),F271="non",F274="non"),H277-(F269*4),IF(AND(AND(F270&gt;=32,F270&lt;=36),F271="non",F274="oui"),H278-(F269*4),"")))</f>
        <v/>
      </c>
      <c r="I287"/>
      <c r="J287" s="67" t="s">
        <v>41</v>
      </c>
      <c r="K287" s="60">
        <v>1</v>
      </c>
      <c r="L287" s="61" t="str">
        <f t="shared" si="59"/>
        <v/>
      </c>
      <c r="M287" s="61" t="str">
        <f>IF(N287="","",N287*L273)</f>
        <v/>
      </c>
      <c r="N287" s="68" t="str">
        <f>IF(L272="oui","",IF(AND(L270&gt;=32,L270&lt;=36,L271="non",L274="non"),((L267-L268)*2),IF(AND(AND(L270&gt;=30,L270&lt;=34),L271="non",L274="oui"),((L267-L269)*2),"")))</f>
        <v/>
      </c>
    </row>
    <row r="288" spans="3:14">
      <c r="C288" s="67" t="s">
        <v>42</v>
      </c>
      <c r="D288" s="60">
        <v>1</v>
      </c>
      <c r="E288" s="102" t="str">
        <f t="shared" si="56"/>
        <v/>
      </c>
      <c r="F288" s="76" t="str">
        <f t="shared" si="57"/>
        <v/>
      </c>
      <c r="G288" s="75" t="str">
        <f t="shared" si="61"/>
        <v/>
      </c>
      <c r="H288" s="82" t="str">
        <f>IF(F272="oui","",IF(AND(AND(F270&gt;=37,F270&lt;=41),F271="non",F274="non"),H277-(F269*4),IF(AND(AND(F270&gt;=37,F270&lt;=41),F271="non",F274="oui"),H278-(F269*4),"")))</f>
        <v/>
      </c>
      <c r="I288"/>
      <c r="J288" s="67" t="s">
        <v>42</v>
      </c>
      <c r="K288" s="60">
        <v>1</v>
      </c>
      <c r="L288" s="61" t="str">
        <f t="shared" si="59"/>
        <v/>
      </c>
      <c r="M288" s="61" t="str">
        <f>IF(N288="","",N288*L273)</f>
        <v/>
      </c>
      <c r="N288" s="68" t="str">
        <f>IF(L272="oui","",IF(AND(L270&gt;=37,L270&lt;=41,L271="non",L274="non"),((L267-L268)*2),IF(AND(AND(L270&gt;=35,L270&lt;=39),L271="non",L274="oui"),((L267-L269)*2),"")))</f>
        <v/>
      </c>
    </row>
    <row r="289" spans="3:14">
      <c r="C289" s="67" t="s">
        <v>43</v>
      </c>
      <c r="D289" s="60">
        <v>1</v>
      </c>
      <c r="E289" s="102" t="str">
        <f t="shared" si="56"/>
        <v/>
      </c>
      <c r="F289" s="76" t="str">
        <f t="shared" si="57"/>
        <v/>
      </c>
      <c r="G289" s="75" t="str">
        <f t="shared" si="61"/>
        <v/>
      </c>
      <c r="H289" s="82" t="str">
        <f>IF(F272="oui","",IF(AND(AND(F270&gt;=42,F270&lt;=46),F271="non",F274="non"),H277-(F269*4),IF(AND(AND(F270&gt;=42,F270&lt;=46),F271="non",F274="oui"),H278-(F269*4),"")))</f>
        <v/>
      </c>
      <c r="I289"/>
      <c r="J289" s="67" t="s">
        <v>43</v>
      </c>
      <c r="K289" s="60">
        <v>1</v>
      </c>
      <c r="L289" s="61" t="str">
        <f t="shared" si="59"/>
        <v/>
      </c>
      <c r="M289" s="61" t="str">
        <f>IF(N289="","",N289*L273)</f>
        <v/>
      </c>
      <c r="N289" s="68" t="str">
        <f>IF(L272="oui","",IF(AND(L270&gt;=42,L270&lt;=46,L271="non",L274="non"),((L267-L268)*2),IF(AND(AND(L270&gt;=40,L270&lt;=44),L271="non",L274="oui"),((L267-L269)*2),"")))</f>
        <v/>
      </c>
    </row>
    <row r="290" spans="3:14" ht="15" thickBot="1">
      <c r="C290" s="69" t="s">
        <v>44</v>
      </c>
      <c r="D290" s="70">
        <v>1</v>
      </c>
      <c r="E290" s="104" t="str">
        <f t="shared" si="56"/>
        <v/>
      </c>
      <c r="F290" s="86" t="str">
        <f t="shared" si="57"/>
        <v/>
      </c>
      <c r="G290" s="84" t="str">
        <f t="shared" si="61"/>
        <v/>
      </c>
      <c r="H290" s="85" t="str">
        <f>IF(F272="oui","",IF(AND(AND(F270&gt;=47,F270&lt;=50),F271="non",F274="non"),H277-(F269*4),IF(AND(AND(F270&gt;=47,F270&lt;=50),F271="non",F274="oui"),H278-(F269*4),"")))</f>
        <v/>
      </c>
      <c r="I290"/>
      <c r="J290" s="69" t="s">
        <v>44</v>
      </c>
      <c r="K290" s="70">
        <v>1</v>
      </c>
      <c r="L290" s="71" t="str">
        <f t="shared" si="59"/>
        <v/>
      </c>
      <c r="M290" s="71" t="str">
        <f>IF(N290="","",N290*L273)</f>
        <v/>
      </c>
      <c r="N290" s="72" t="str">
        <f>IF(L272="oui","",IF(AND(L270&gt;=47,L270&lt;=50,L271="non",L274="non"),((L267-L268)*2),IF(AND(AND(L270&gt;=45,L270&lt;=50),L271="non",L274="oui"),((L267-L269)*2),"")))</f>
        <v/>
      </c>
    </row>
    <row r="291" spans="3:14">
      <c r="C291" s="63" t="s">
        <v>45</v>
      </c>
      <c r="D291" s="64">
        <v>1</v>
      </c>
      <c r="E291" s="103" t="str">
        <f t="shared" si="56"/>
        <v/>
      </c>
      <c r="F291" s="87" t="str">
        <f t="shared" si="57"/>
        <v/>
      </c>
      <c r="G291" s="80" t="str">
        <f>IF(H291="","",H291*$F$14)</f>
        <v/>
      </c>
      <c r="H291" s="88" t="str">
        <f>IF(AND(OR(F270=30,F270=31),H277&lt;&gt;"",H280&lt;&gt;""),H277-H280,IF(AND(OR(F270=30,F270=31),H278&lt;&gt;"",H280&lt;&gt;""),H278-H280,IF(AND(OR(F270=30,F270=31),F271="oui",F274="non"),H277-H281,IF(AND(OR(F270=30,F270=31),F271="non",F274="non"),H277-H286,IF(AND(OR(F270=30,F270=31),F271="oui",F274="oui"),H278-H281,IF(AND(OR(F270=30,F270=31),F271="non",F274="oui"),H278-H286,""))))))</f>
        <v/>
      </c>
      <c r="I291"/>
      <c r="J291" s="63" t="s">
        <v>45</v>
      </c>
      <c r="K291" s="64">
        <v>1</v>
      </c>
      <c r="L291" s="65" t="str">
        <f t="shared" si="59"/>
        <v/>
      </c>
      <c r="M291" s="65" t="str">
        <f>IF(N291="","",N291*L273)</f>
        <v/>
      </c>
      <c r="N291" s="66" t="str">
        <f>IF(AND(OR(L270=30,L270=31),L272="oui",L274="non"),N277-N280,IF(AND(OR(L270=30,L270=31),L271="oui",L274="oui"),N277-N281,IF(AND(OR(L270=30,L270=31),L271="non",L274="oui"),N277-N287,IF(AND(OR(L270=30,L270=31),L271="oui",L274="non"),N277-N281,IF(AND(OR(L270=30,L270=31),L271="non",L274="non"),N277-N286,"")))))</f>
        <v/>
      </c>
    </row>
    <row r="292" spans="3:14">
      <c r="C292" s="67" t="s">
        <v>46</v>
      </c>
      <c r="D292" s="60">
        <v>1</v>
      </c>
      <c r="E292" s="102" t="str">
        <f t="shared" si="56"/>
        <v/>
      </c>
      <c r="F292" s="76" t="str">
        <f t="shared" si="57"/>
        <v/>
      </c>
      <c r="G292" s="75" t="str">
        <f t="shared" ref="G292:G299" si="62">IF(H292="","",H292*$F$14)</f>
        <v/>
      </c>
      <c r="H292" s="82" t="str">
        <f>IF(AND(OR(F270=32,F270=33),H277&lt;&gt;"",H280&lt;&gt;""),H277-H280,IF(AND(OR(F270=32,F270=33),H278&lt;&gt;"",H280&lt;&gt;""),H278-H280,IF(AND(OR(F270=32,F270=33),F271="oui",F274="non"),H277-H281,IF(AND(OR(F270=32,F270=33),F271="non",F274="non"),H277-H287,IF(AND(OR(F270=32,F270=33),F271="oui",F274="oui"),H278-H281,IF(AND(OR(F270=32,F270=33),F271="non",F274="oui"),H278-H287,""))))))</f>
        <v/>
      </c>
      <c r="I292"/>
      <c r="J292" s="67" t="s">
        <v>46</v>
      </c>
      <c r="K292" s="60">
        <v>1</v>
      </c>
      <c r="L292" s="61" t="str">
        <f t="shared" si="59"/>
        <v/>
      </c>
      <c r="M292" s="61" t="str">
        <f>IF(N292="","",N292*L273)</f>
        <v/>
      </c>
      <c r="N292" s="68" t="str">
        <f>IF(AND(OR(L270=32,L270=33),L272="oui",L274="non"),N277-N280,IF(AND(L270=32,L271="oui",L274="oui"),N277-N281,IF(AND(L270=33,L271="oui",L274="oui"),N277-N282,IF(AND(OR(L270=32,L270=33),L271="non",L274="oui"),N277-N287,IF(AND(OR(L270=32,L270=33),L271="oui",L274="non"),N277-N281,IF(AND(OR(L270=32,L270=33),L271="non",L274="non"),N277-N287,""))))))</f>
        <v/>
      </c>
    </row>
    <row r="293" spans="3:14">
      <c r="C293" s="67" t="s">
        <v>47</v>
      </c>
      <c r="D293" s="60">
        <v>1</v>
      </c>
      <c r="E293" s="102">
        <f t="shared" si="56"/>
        <v>0</v>
      </c>
      <c r="F293" s="76">
        <f>IF(H293="","",ROUNDUP(H293+G293,0))</f>
        <v>0</v>
      </c>
      <c r="G293" s="75">
        <f t="shared" si="62"/>
        <v>0</v>
      </c>
      <c r="H293" s="82">
        <f>IF(AND(OR(F270=34,F270=35),H277&lt;&gt;"",H280&lt;&gt;""),H277-H280,IF(AND(OR(F270=34,F270=35),H278&lt;&gt;"",H280&lt;&gt;""),H278-H280,IF(AND(F270=34,F271="oui",F274="non"),H277-H281,IF(AND(F270=35,F271="oui",F274="non"),H277-H282,IF(AND(OR(F270=34,F270=35),F271="non",F274="non"),H277-H287,IF(AND(F270=34,F271="oui",F274="oui"),H278-H281,IF(AND(F270=35,F271="oui",F274="oui"),H278-H282,IF(AND(OR(F270=34,F270=35),F271="non",F274="oui"),H278-H287,""))))))))</f>
        <v>0</v>
      </c>
      <c r="I293"/>
      <c r="J293" s="67" t="s">
        <v>47</v>
      </c>
      <c r="K293" s="60">
        <v>1</v>
      </c>
      <c r="L293" s="61" t="str">
        <f t="shared" si="59"/>
        <v/>
      </c>
      <c r="M293" s="61" t="str">
        <f>IF(N293="","",N293*L273)</f>
        <v/>
      </c>
      <c r="N293" s="68" t="str">
        <f>IF(AND(OR(L270=34,L270=35),L272="oui",L274="non"),N277-N280,IF(AND(OR(L270=34,L270=35),L271="oui",L274="oui"),N277-N282,IF(AND(L270=34,L271="non",L274="oui"),N277-N287,IF(AND(L270=35,L271="non",L274="oui"),N277-N288,IF(AND(L270=34,L271="oui",L274="non"),N277-N281,IF(AND(L270=35,L271="oui",L274="non"),N277-N282,IF(AND(OR(L270=34,L270=35),L271="non",L274="non"),N277-N287,"")))))))</f>
        <v/>
      </c>
    </row>
    <row r="294" spans="3:14">
      <c r="C294" s="67" t="s">
        <v>48</v>
      </c>
      <c r="D294" s="60">
        <v>1</v>
      </c>
      <c r="E294" s="102" t="str">
        <f t="shared" si="56"/>
        <v/>
      </c>
      <c r="F294" s="76" t="str">
        <f t="shared" ref="F294:F299" si="63">IF(H294="","",ROUNDUP(H294+G294,0))</f>
        <v/>
      </c>
      <c r="G294" s="75" t="str">
        <f t="shared" si="62"/>
        <v/>
      </c>
      <c r="H294" s="82" t="str">
        <f>IF(AND(OR(F270=36,F270=37),H277&lt;&gt;"",H280&lt;&gt;""),H277-H280,IF(AND(OR(F270=36,F270=37),H278&lt;&gt;"",H280&lt;&gt;""),H278-H280,IF(AND(F270=36,F271="oui",F274="non"),H277-H282,IF(AND(F270=36,F271="non",F274="non"),H277-H287,IF(AND(F270=37,F271="oui",F274="non"),H277-H282,IF(AND(F270=37,F271="non",F274="non"),H277-H288,IF(AND(F270=36,F271="oui",F274="oui"),H278-H282,IF(AND(F270=36,F271="non",F274="oui"),H278-H287,IF(AND(F270=37,F271="oui",F274="oui"),H278-H282,IF(AND(F270=37,F271="non",F274="oui"),H278-H288,""))))))))))</f>
        <v/>
      </c>
      <c r="I294"/>
      <c r="J294" s="67" t="s">
        <v>48</v>
      </c>
      <c r="K294" s="60">
        <v>1</v>
      </c>
      <c r="L294" s="61" t="str">
        <f t="shared" si="59"/>
        <v/>
      </c>
      <c r="M294" s="61" t="str">
        <f>IF(N294="","",N294*L273)</f>
        <v/>
      </c>
      <c r="N294" s="68" t="str">
        <f>IF(AND(OR(L270=36,L270=37),L272="oui",L274="non"),N277-N280,IF(AND(OR(L270=36,L270=37),L271="oui",L274="oui"),N277-N282,IF(AND(OR(L270=36,L270=37),L271="non",L274="oui"),N277-N288,IF(AND(OR(L270=36,L270=37),L271="oui",L274="non"),N277-N282,IF(AND(L270=36,L271="non",L274="non"),N277-N287,IF(AND(L270=37,L271="non",L274="non"),N277-N288,""))))))</f>
        <v/>
      </c>
    </row>
    <row r="295" spans="3:14">
      <c r="C295" s="67" t="s">
        <v>49</v>
      </c>
      <c r="D295" s="60">
        <v>1</v>
      </c>
      <c r="E295" s="102" t="str">
        <f t="shared" si="56"/>
        <v/>
      </c>
      <c r="F295" s="76" t="str">
        <f t="shared" si="63"/>
        <v/>
      </c>
      <c r="G295" s="75" t="str">
        <f t="shared" si="62"/>
        <v/>
      </c>
      <c r="H295" s="82" t="str">
        <f>IF(AND(OR(F270=38,F270=39),H277&lt;&gt;"",H280&lt;&gt;""),H277-H280,IF(AND(OR(F270=36,F270=37),H278&lt;&gt;"",H280&lt;&gt;""),H278-H280,IF(AND(OR(F270=38,F270=39),F271="oui",F274="non"),H277-H282,IF(AND(OR(F270=38,F270=39),F271="non",F274="non"),H277-H288,IF(AND(OR(F270=38,F270=39),F271="oui",F274="oui"),H278-H282,IF(AND(OR(F270=38,F270=39),F271="non",F274="oui"),H278-H288,""))))))</f>
        <v/>
      </c>
      <c r="I295"/>
      <c r="J295" s="67" t="s">
        <v>49</v>
      </c>
      <c r="K295" s="60">
        <v>1</v>
      </c>
      <c r="L295" s="61" t="str">
        <f t="shared" si="59"/>
        <v/>
      </c>
      <c r="M295" s="61" t="str">
        <f>IF(N295="","",N295*L273)</f>
        <v/>
      </c>
      <c r="N295" s="68" t="str">
        <f>IF(AND(OR(L270=38,L270=39),L272="oui",L274="non"),N277-N280,IF(AND(OR(L270=38,L270=39),L271="oui",L274="oui"),N277-N283,IF(AND(OR(L270=38,L270=39),L271="non",L274="oui"),N277-N288,IF(AND(OR(L270=38,L270=39),L271="oui",L274="non"),N277-N282,IF(AND(OR(L270=38,L270=39),L271="non",L274="non"),N277-N288,"")))))</f>
        <v/>
      </c>
    </row>
    <row r="296" spans="3:14">
      <c r="C296" s="67" t="s">
        <v>50</v>
      </c>
      <c r="D296" s="60">
        <v>1</v>
      </c>
      <c r="E296" s="102" t="str">
        <f t="shared" si="56"/>
        <v/>
      </c>
      <c r="F296" s="76" t="str">
        <f t="shared" si="63"/>
        <v/>
      </c>
      <c r="G296" s="75" t="str">
        <f t="shared" si="62"/>
        <v/>
      </c>
      <c r="H296" s="82" t="str">
        <f>IF(AND(OR(F270=40,F270=41),H277&lt;&gt;"",H280&lt;&gt;""),H277-H280,IF(AND(OR(F270=40,F270=41),H278&lt;&gt;"",H280&lt;&gt;""),H278-H280,IF(AND(OR(F270=40,F270=41),F271="oui",F274="non"),H277-H283,IF(AND(OR(F270=40,F270=41),F271="non",F274="non"),H277-H288,IF(AND(OR(F270=40,F270=41),F271="oui",F274="oui"),H278-H283,IF(AND(OR(F270=40,F270=41),F271="non",F274="oui"),H278-H288,""))))))</f>
        <v/>
      </c>
      <c r="I296"/>
      <c r="J296" s="67" t="s">
        <v>50</v>
      </c>
      <c r="K296" s="60">
        <v>1</v>
      </c>
      <c r="L296" s="61" t="str">
        <f t="shared" si="59"/>
        <v/>
      </c>
      <c r="M296" s="61" t="str">
        <f>IF(N296="","",N296*L273)</f>
        <v/>
      </c>
      <c r="N296" s="68" t="str">
        <f>IF(AND(OR(L270=40,L270=41),L272="oui",L274="non"),N277-N280,IF(AND(OR(L270=40,L270=41),L271="oui",L274="oui"),N277-N283,IF(AND(OR(L270=40,L270=41),L271="non",L274="oui"),N277-N289,IF(AND(OR(L270=40,L270=41),L271="oui",L274="non"),N277-N283,IF(AND(OR(L270=40,L270=41),L271="non",L274="non"),N277-N288,"")))))</f>
        <v/>
      </c>
    </row>
    <row r="297" spans="3:14">
      <c r="C297" s="67" t="s">
        <v>51</v>
      </c>
      <c r="D297" s="60">
        <v>1</v>
      </c>
      <c r="E297" s="102" t="str">
        <f t="shared" si="56"/>
        <v/>
      </c>
      <c r="F297" s="76" t="str">
        <f t="shared" si="63"/>
        <v/>
      </c>
      <c r="G297" s="75" t="str">
        <f t="shared" si="62"/>
        <v/>
      </c>
      <c r="H297" s="82" t="str">
        <f>IF(AND(OR(F270=42,F270=43,F270=44),H277&lt;&gt;"",H280&lt;&gt;""),H277-H280,IF(AND(OR(F270=42,F270=43,F270=44),H278&lt;&gt;"",H280&lt;&gt;""),H278-H280,IF(AND(AND(F270&gt;=42,F270&lt;=44),F271="oui",F274="non"),H277-H283,IF(AND(AND(F270&gt;=42,F270&lt;=44),F271="non",F274="non"),H277-H289,IF(AND(AND(F270&gt;=42,F270&lt;=44),F271="oui",F274="oui"),H278-H283,IF(AND(AND(F270&gt;=42,F270&lt;=44),F271="non",F274="oui"),H278-H289,""))))))</f>
        <v/>
      </c>
      <c r="I297"/>
      <c r="J297" s="67" t="s">
        <v>51</v>
      </c>
      <c r="K297" s="60">
        <v>1</v>
      </c>
      <c r="L297" s="61" t="str">
        <f t="shared" si="59"/>
        <v/>
      </c>
      <c r="M297" s="61" t="str">
        <f>IF(N297="","",N297*L273)</f>
        <v/>
      </c>
      <c r="N297" s="68" t="str">
        <f>IF(AND(OR(L270=42,L270=43,L270=44),L272="oui",L274="non"),N277-N280,IF(AND(L270=42,L271="oui",L274="oui"),N277-N283,IF(AND(OR(L270=42,L270=43),L271="oui",L274="oui"),N277-N284,IF(AND(OR(L270=42,L270=43,L270=44),L271="non",L274="oui"),N277-N289,IF(AND(OR(L270=42,L270=43,L270=44),L271="oui",L274="non"),N277-N283,IF(AND(OR(L270=42,L270=43,L270=44),L271="non",L274="non"),N277-N289,""))))))</f>
        <v/>
      </c>
    </row>
    <row r="298" spans="3:14">
      <c r="C298" s="67" t="s">
        <v>52</v>
      </c>
      <c r="D298" s="60">
        <v>1</v>
      </c>
      <c r="E298" s="105" t="str">
        <f t="shared" si="56"/>
        <v/>
      </c>
      <c r="F298" s="83" t="str">
        <f t="shared" si="63"/>
        <v/>
      </c>
      <c r="G298" s="75" t="str">
        <f t="shared" si="62"/>
        <v/>
      </c>
      <c r="H298" s="82" t="str">
        <f>IF(AND(OR(F270=45,F270=46,F270=47,F270=48,F270=49),H277&lt;&gt;"",H280&lt;&gt;""),H277-H280,IF(AND(OR(F270=45,F270=46,F270=47,F270=48,F270=49),H278&lt;&gt;"",H280&lt;&gt;""),H278-H280,IF(AND(OR(F270=45,F270=46),F271="oui",F274="non"),H277-H284,IF(AND(OR(F270=45,F270=46),F271="non",F274="non"),H277-H289,IF(AND(AND(F270&gt;=47,F270&lt;=49),F271="oui",F274="non"),H277-H284,IF(AND(AND(F270&gt;=47,F270&lt;=49),F271="non",F274="non"),H277-H290,IF(AND(OR(F270=45,F270=46),F271="oui",F274="oui"),H278-H284,IF(AND(OR(F270=45,F270=46),F271="non",F274="oui"),H278-H289,IF(AND(AND(F270&gt;=47,F270&lt;=49),F271="oui",F274="oui"),H278-H284,IF(AND(AND(F270&gt;=47,F270&lt;=49),F271="non",F274="oui"),H278-H290,""))))))))))</f>
        <v/>
      </c>
      <c r="I298"/>
      <c r="J298" s="67" t="s">
        <v>52</v>
      </c>
      <c r="K298" s="60">
        <v>1</v>
      </c>
      <c r="L298" s="61" t="str">
        <f t="shared" si="59"/>
        <v/>
      </c>
      <c r="M298" s="61" t="str">
        <f>IF(N298="","",N298*L273)</f>
        <v/>
      </c>
      <c r="N298" s="68" t="str">
        <f>IF(AND(AND(L270&gt;=45,L270&lt;=49),L272="oui",L274="non"),N277-N280,IF(AND(OR(L270=45,L270=46,L270=47),L271="oui",L274="oui"),N277-N284,IF(AND(OR(L270=48,L270=49),L271="oui",L274="oui"),N277-N285,IF(AND(AND(L270&gt;=45,L270&lt;=49),L271="non",L274="oui"),N277-N290,IF(AND(AND(L270&gt;=45,L270&lt;=49),L271="oui",L274="non"),N277-N284,IF(AND(OR(L270=45,L270=46),L271="non",L274="non"),N277-N289,IF(AND(AND(L270&gt;=47,L270&lt;=49),L271="non",L274="non"),N277-N290,"")))))))</f>
        <v/>
      </c>
    </row>
    <row r="299" spans="3:14" ht="15" thickBot="1">
      <c r="C299" s="69" t="s">
        <v>53</v>
      </c>
      <c r="D299" s="70">
        <v>1</v>
      </c>
      <c r="E299" s="104" t="str">
        <f t="shared" si="56"/>
        <v/>
      </c>
      <c r="F299" s="86" t="str">
        <f t="shared" si="63"/>
        <v/>
      </c>
      <c r="G299" s="84" t="str">
        <f t="shared" si="62"/>
        <v/>
      </c>
      <c r="H299" s="85" t="str">
        <f>IF(AND(F270=50,H277&lt;&gt;"",H280&lt;&gt;""),H277-H280,IF(AND(F270=50,H278&lt;&gt;"",H280&lt;&gt;""),H278-H280,IF(AND(F270=50,F271="oui",F274="non"),H277-H285,IF(AND(F270=50,F271="non",F274="non"),H277-H290,IF(AND(F270=50,F271="oui",F274="oui"),H278-H285,IF(AND(F270=50,F271="non",F274="oui"),H278-H290,""))))))</f>
        <v/>
      </c>
      <c r="I299"/>
      <c r="J299" s="69" t="s">
        <v>53</v>
      </c>
      <c r="K299" s="70">
        <v>1</v>
      </c>
      <c r="L299" s="71" t="str">
        <f t="shared" si="59"/>
        <v/>
      </c>
      <c r="M299" s="71" t="str">
        <f>IF(N299="","",N299*L273)</f>
        <v/>
      </c>
      <c r="N299" s="236" t="str">
        <f>IF(AND(L270=50,L272="oui",L274="non"),N277-N280,IF(AND(L270=50,L271="oui",L274="oui"),N277-N285,IF(AND(L270=50,L271="non",L274="oui"),N277-N290,IF(AND(L270=50,L271="oui",L274="non"),N277-N285,IF(AND(L270=50,L271="non",L274="non"),N277-N290,"")))))</f>
        <v/>
      </c>
    </row>
    <row r="300" spans="3:14" ht="15" thickBot="1">
      <c r="C300" s="205" t="s">
        <v>105</v>
      </c>
      <c r="D300" s="206">
        <v>1</v>
      </c>
      <c r="E300" s="207">
        <f t="shared" si="56"/>
        <v>0</v>
      </c>
      <c r="F300" s="197">
        <f>IF(H300="","",ROUNDUP(H300+G300,0))</f>
        <v>0</v>
      </c>
      <c r="G300" s="197">
        <f>IF(H300="","",H300*$F$14)</f>
        <v>0</v>
      </c>
      <c r="H300" s="197">
        <f>IF(F269="","",(IF(OR(F270=30,F270=31),F291/2, IF(OR(F270=32,F270=33),F292/2,IF(OR(F270=34,F270=35),F293/2,IF(OR(F270=36,F270=37),F294/2,IF(OR(F270=38,F270=39),F295/2,IF(OR(F270=40,F270=41),F296/2,IF(OR(F270=42,F270=43,F270=44),F297/2,IF(OR(F270=45,F270=46,F270=47,F270=48,F270=49),F298/2,IF(F270=50,F299/2)))))))))))</f>
        <v>0</v>
      </c>
      <c r="I300"/>
      <c r="J300" s="205" t="s">
        <v>105</v>
      </c>
      <c r="K300" s="206">
        <v>1</v>
      </c>
      <c r="L300" s="197" t="str">
        <f>IF(N300="","",ROUNDUP(N300+M300,0))</f>
        <v/>
      </c>
      <c r="M300" s="197" t="str">
        <f>IF(N300="","",N300*$F$14)</f>
        <v/>
      </c>
      <c r="N300" s="197" t="str">
        <f>IF(L269="","",(IF(L274="oui",L267,(IF(OR(L270=30,L270=31),L291/2, IF(OR(L270=32,L270=33),L292/2,IF(OR(L270=34,L270=35),L293/2,IF(OR(L270=36,L270=37),L294/2,IF(OR(L270=38,L270=39),L295/2,IF(OR(L270=40,L270=41),L296/2,IF(OR(L270=42,L270=43,L270=44),L297/2,IF(OR(L270=45,L270=46,L270=47,L270=48,L270=49),L298/2,IF(L270=50,L299/2)))))))))))))</f>
        <v/>
      </c>
    </row>
    <row r="301" spans="3:14" ht="15" thickBot="1"/>
    <row r="302" spans="3:14" ht="15" thickBot="1">
      <c r="C302" s="337" t="s">
        <v>204</v>
      </c>
      <c r="D302" s="338"/>
      <c r="E302" s="338"/>
      <c r="F302" s="339"/>
      <c r="J302" s="337" t="s">
        <v>205</v>
      </c>
      <c r="K302" s="338"/>
      <c r="L302" s="339"/>
    </row>
    <row r="303" spans="3:14">
      <c r="C303" s="340" t="s">
        <v>15</v>
      </c>
      <c r="D303" s="340"/>
      <c r="E303" s="175"/>
      <c r="F303" s="101" t="s">
        <v>25</v>
      </c>
      <c r="G303" s="176"/>
      <c r="H303" s="40"/>
      <c r="J303" s="341" t="s">
        <v>128</v>
      </c>
      <c r="K303" s="341"/>
      <c r="L303" s="177" t="s">
        <v>25</v>
      </c>
      <c r="M303" s="178"/>
      <c r="N303" s="178"/>
    </row>
    <row r="304" spans="3:14">
      <c r="C304" s="336" t="s">
        <v>26</v>
      </c>
      <c r="D304" s="336"/>
      <c r="E304" s="179"/>
      <c r="F304" s="14">
        <v>0</v>
      </c>
      <c r="G304" s="19"/>
      <c r="H304" s="180"/>
      <c r="J304" s="336" t="s">
        <v>26</v>
      </c>
      <c r="K304" s="336"/>
      <c r="L304" s="42"/>
      <c r="M304" s="181"/>
      <c r="N304" s="182"/>
    </row>
    <row r="305" spans="3:14" ht="14.25" customHeight="1">
      <c r="C305" s="336" t="s">
        <v>27</v>
      </c>
      <c r="D305" s="336"/>
      <c r="E305" s="179"/>
      <c r="F305" s="14">
        <v>0</v>
      </c>
      <c r="G305" s="19"/>
      <c r="H305" s="180"/>
      <c r="J305" s="336" t="s">
        <v>27</v>
      </c>
      <c r="K305" s="336"/>
      <c r="L305" s="42"/>
      <c r="M305" s="181"/>
      <c r="N305" s="182"/>
    </row>
    <row r="306" spans="3:14">
      <c r="C306" s="336" t="s">
        <v>28</v>
      </c>
      <c r="D306" s="336"/>
      <c r="E306" s="179"/>
      <c r="F306" s="14">
        <v>0</v>
      </c>
      <c r="G306" s="19"/>
      <c r="H306" s="180"/>
      <c r="J306" s="336" t="s">
        <v>28</v>
      </c>
      <c r="K306" s="336"/>
      <c r="L306" s="42"/>
      <c r="M306" s="181"/>
      <c r="N306" s="182"/>
    </row>
    <row r="307" spans="3:14">
      <c r="C307" s="336" t="s">
        <v>29</v>
      </c>
      <c r="D307" s="336"/>
      <c r="E307" s="179"/>
      <c r="F307" s="14">
        <v>35</v>
      </c>
      <c r="G307" s="19"/>
      <c r="H307" s="180"/>
      <c r="J307" s="336" t="s">
        <v>136</v>
      </c>
      <c r="K307" s="336"/>
      <c r="L307" s="14"/>
      <c r="M307" s="181"/>
      <c r="N307" s="182"/>
    </row>
    <row r="308" spans="3:14">
      <c r="C308" s="336" t="s">
        <v>270</v>
      </c>
      <c r="D308" s="336"/>
      <c r="E308" s="179"/>
      <c r="F308" s="14" t="s">
        <v>33</v>
      </c>
      <c r="G308" s="19"/>
      <c r="H308" s="180"/>
      <c r="J308" s="336" t="s">
        <v>270</v>
      </c>
      <c r="K308" s="336"/>
      <c r="L308" s="14"/>
      <c r="M308" s="181"/>
      <c r="N308" s="182"/>
    </row>
    <row r="309" spans="3:14">
      <c r="C309" s="336" t="s">
        <v>272</v>
      </c>
      <c r="D309" s="336"/>
      <c r="E309" s="179"/>
      <c r="F309" s="14" t="s">
        <v>33</v>
      </c>
      <c r="G309" s="19"/>
      <c r="H309" s="180"/>
      <c r="J309" s="331" t="s">
        <v>269</v>
      </c>
      <c r="K309" s="332"/>
      <c r="L309" s="14"/>
      <c r="M309" s="181"/>
      <c r="N309" s="182"/>
    </row>
    <row r="310" spans="3:14">
      <c r="C310" s="336" t="s">
        <v>146</v>
      </c>
      <c r="D310" s="336"/>
      <c r="E310" s="179"/>
      <c r="F310" s="15">
        <v>0</v>
      </c>
      <c r="G310" s="16"/>
      <c r="H310"/>
      <c r="J310" s="336" t="s">
        <v>135</v>
      </c>
      <c r="K310" s="336"/>
      <c r="L310" s="15"/>
      <c r="M310" s="183"/>
      <c r="N310" s="184"/>
    </row>
    <row r="311" spans="3:14">
      <c r="C311" s="334" t="s">
        <v>250</v>
      </c>
      <c r="D311" s="334"/>
      <c r="E311" s="179"/>
      <c r="F311" s="239" t="s">
        <v>65</v>
      </c>
      <c r="G311" s="185"/>
      <c r="H311"/>
      <c r="J311" s="334" t="s">
        <v>252</v>
      </c>
      <c r="K311" s="334"/>
      <c r="L311" s="239"/>
      <c r="M311" s="181"/>
      <c r="N311" s="182"/>
    </row>
    <row r="312" spans="3:14" ht="15" thickBot="1">
      <c r="C312"/>
      <c r="D312"/>
      <c r="E312"/>
      <c r="H312"/>
      <c r="J312" s="335"/>
      <c r="K312" s="335"/>
      <c r="L312" s="41"/>
      <c r="M312" s="41"/>
      <c r="N312" s="186"/>
    </row>
    <row r="313" spans="3:14">
      <c r="C313" s="187" t="s">
        <v>34</v>
      </c>
      <c r="D313" s="188" t="s">
        <v>35</v>
      </c>
      <c r="E313" s="188"/>
      <c r="F313" s="188" t="s">
        <v>25</v>
      </c>
      <c r="G313" s="80" t="str">
        <f>IF(H313="","",H313*F310)</f>
        <v/>
      </c>
      <c r="H313" s="81"/>
      <c r="I313"/>
      <c r="J313" s="189" t="s">
        <v>34</v>
      </c>
      <c r="K313" s="189" t="s">
        <v>35</v>
      </c>
      <c r="L313" s="177" t="s">
        <v>25</v>
      </c>
      <c r="M313" s="178"/>
      <c r="N313" s="178"/>
    </row>
    <row r="314" spans="3:14">
      <c r="C314" s="67" t="s">
        <v>38</v>
      </c>
      <c r="D314" s="60">
        <v>1</v>
      </c>
      <c r="E314" s="102">
        <f>F314</f>
        <v>0</v>
      </c>
      <c r="F314" s="74">
        <f>IF(H314="","",ROUNDUP(G314+H314,0))</f>
        <v>0</v>
      </c>
      <c r="G314" s="75">
        <f>IF(H314="","",H314*F310)</f>
        <v>0</v>
      </c>
      <c r="H314" s="82">
        <f>IF(OR(F311="oui",F311=""),"",IF((F311="non"),IF(OR(F304="",F306=""),"",(F304+F306)*2)))</f>
        <v>0</v>
      </c>
      <c r="I314"/>
      <c r="J314" s="59" t="s">
        <v>134</v>
      </c>
      <c r="K314" s="60">
        <v>1</v>
      </c>
      <c r="L314" s="61" t="str">
        <f>IF(N314="","",ROUNDUP(N314+M314+1,0))</f>
        <v/>
      </c>
      <c r="M314" s="61" t="str">
        <f>IF(N314="","",N314*L310)</f>
        <v/>
      </c>
      <c r="N314" s="62" t="str">
        <f>IF(OR(L304="",L305=""),"",IF(L311="non",((L304*2)+(L305*2)),IF(L311="oui",((L304*2)+(L306*2)))))</f>
        <v/>
      </c>
    </row>
    <row r="315" spans="3:14">
      <c r="C315" s="67" t="s">
        <v>249</v>
      </c>
      <c r="D315" s="60">
        <v>1</v>
      </c>
      <c r="E315" s="102" t="str">
        <f>F315</f>
        <v/>
      </c>
      <c r="F315" s="74" t="str">
        <f>IF(H315="","",ROUNDUP(G315+H315,0))</f>
        <v/>
      </c>
      <c r="G315" s="75" t="str">
        <f>IF(H315="","",H315*F310)</f>
        <v/>
      </c>
      <c r="H315" s="82" t="str">
        <f>IF(OR(F311="non",F311=""),"",IF((F311="oui"),IF(OR(F304="",F306=""),"",(F304+F306)*2)))</f>
        <v/>
      </c>
      <c r="I315"/>
      <c r="J315" s="59" t="s">
        <v>253</v>
      </c>
      <c r="K315" s="60">
        <v>1</v>
      </c>
      <c r="L315" s="61" t="str">
        <f>IF(N315="","",ROUNDUP(N315+M315+1,0))</f>
        <v/>
      </c>
      <c r="M315" s="61" t="str">
        <f>IF(N315="","",N315*L310)</f>
        <v/>
      </c>
      <c r="N315" s="62" t="str">
        <f>IF(L311="oui",N314,"")</f>
        <v/>
      </c>
    </row>
    <row r="316" spans="3:14" ht="15" thickBot="1">
      <c r="C316" s="69" t="s">
        <v>39</v>
      </c>
      <c r="D316" s="70">
        <v>100</v>
      </c>
      <c r="E316" s="104">
        <f>F316</f>
        <v>0</v>
      </c>
      <c r="F316" s="190">
        <f>IF(H316="","",ROUNDUP(G316+H316,0))</f>
        <v>0</v>
      </c>
      <c r="G316" s="191">
        <f>IF(H316="","",H316*F310)</f>
        <v>0</v>
      </c>
      <c r="H316" s="85">
        <f>IF(AND(H314="",H315=""),"",IF(H314&lt;&gt;"",(H314*3)/100,IF(H315&lt;&gt;"",(H315*3)/100)))</f>
        <v>0</v>
      </c>
      <c r="I316"/>
      <c r="J316" s="77" t="s">
        <v>39</v>
      </c>
      <c r="K316" s="78">
        <v>100</v>
      </c>
      <c r="L316" s="192" t="str">
        <f>IF(N316="","",ROUNDUP(N316+M316,0))</f>
        <v/>
      </c>
      <c r="M316" s="192" t="str">
        <f>IF(N316="","",N316*L310)</f>
        <v/>
      </c>
      <c r="N316" s="193" t="str">
        <f>IF(N314="","",(L314*4)/100)</f>
        <v/>
      </c>
    </row>
    <row r="317" spans="3:14" ht="15" thickBot="1">
      <c r="C317" s="312" t="s">
        <v>262</v>
      </c>
      <c r="D317" s="64">
        <v>1</v>
      </c>
      <c r="E317" s="194">
        <f t="shared" ref="E317:E337" si="64">F317</f>
        <v>0</v>
      </c>
      <c r="F317" s="195">
        <f t="shared" ref="F317:F329" si="65">IF(H317="","",ROUNDUP(H317+G317,0))</f>
        <v>0</v>
      </c>
      <c r="G317" s="196">
        <f t="shared" ref="G317" si="66">IF(H317="","",H317*$F$14)</f>
        <v>0</v>
      </c>
      <c r="H317" s="197">
        <f>IF(AND(F308="oui",F309="oui",F311="non"),H314-(F306*4),IF(AND(F308="oui",F309="oui",F311="oui"),H315-(F306*4),""))</f>
        <v>0</v>
      </c>
      <c r="I317"/>
      <c r="J317" s="312" t="s">
        <v>262</v>
      </c>
      <c r="K317" s="198">
        <v>1</v>
      </c>
      <c r="L317" s="199" t="str">
        <f t="shared" ref="L317:L336" si="67">IF(N317="","",ROUNDUP(N317+M317,0))</f>
        <v/>
      </c>
      <c r="M317" s="199" t="str">
        <f>IF(N317="","",N317*L310)</f>
        <v/>
      </c>
      <c r="N317" s="200" t="str">
        <f>IF(AND(L308="oui",L309="oui",L311="non"),((L304-L305)*2),"")</f>
        <v/>
      </c>
    </row>
    <row r="318" spans="3:14">
      <c r="C318" s="313" t="s">
        <v>263</v>
      </c>
      <c r="D318" s="64">
        <v>1</v>
      </c>
      <c r="E318" s="103" t="str">
        <f t="shared" si="64"/>
        <v/>
      </c>
      <c r="F318" s="87" t="str">
        <f t="shared" si="65"/>
        <v/>
      </c>
      <c r="G318" s="201" t="str">
        <f>IF(H318="","",H318*$F$14)</f>
        <v/>
      </c>
      <c r="H318" s="173" t="str">
        <f>IF(F309="oui","",IF(AND(AND(F307&gt;=30,F307&lt;=34),F308="oui",F309="non",F311="non"),H314-(F306*4),IF(AND(AND(F307&gt;=30,F307&lt;=34),F308="oui",F309="non",F311="oui"),H315-(F306*4),"")))</f>
        <v/>
      </c>
      <c r="I318"/>
      <c r="J318" s="313" t="s">
        <v>263</v>
      </c>
      <c r="K318" s="89">
        <v>1</v>
      </c>
      <c r="L318" s="73" t="str">
        <f t="shared" si="67"/>
        <v/>
      </c>
      <c r="M318" s="73" t="str">
        <f>IF(N318="","",N318*L310)</f>
        <v/>
      </c>
      <c r="N318" s="202" t="str">
        <f>IF(L309="oui","",IF(AND(L307&gt;=30,L307&lt;=34,L308="oui",L311="non"),((L304-L305)*2),IF(AND(AND(L307&gt;=30,L307&lt;=32),L308="oui",L311="oui"),((L304-L306)*2),"")))</f>
        <v/>
      </c>
    </row>
    <row r="319" spans="3:14">
      <c r="C319" s="67" t="s">
        <v>264</v>
      </c>
      <c r="D319" s="60">
        <v>1</v>
      </c>
      <c r="E319" s="102" t="str">
        <f t="shared" si="64"/>
        <v/>
      </c>
      <c r="F319" s="76" t="str">
        <f t="shared" si="65"/>
        <v/>
      </c>
      <c r="G319" s="201" t="str">
        <f t="shared" ref="G319:G322" si="68">IF(H319="","",H319*$F$14)</f>
        <v/>
      </c>
      <c r="H319" s="82" t="str">
        <f>IF(F309="oui","",IF(AND(AND(F307&gt;=35,F307&lt;=39),F308="oui",F311="non"),H314-(F306*4),IF(AND(AND(F307&gt;=35,F307&lt;=39),F308="oui",F311="oui"),H315-(F306*4),"")))</f>
        <v/>
      </c>
      <c r="I319"/>
      <c r="J319" s="67" t="s">
        <v>264</v>
      </c>
      <c r="K319" s="60">
        <v>1</v>
      </c>
      <c r="L319" s="61" t="str">
        <f t="shared" si="67"/>
        <v/>
      </c>
      <c r="M319" s="61" t="str">
        <f>IF(N319="","",N319*L310)</f>
        <v/>
      </c>
      <c r="N319" s="68" t="str">
        <f>IF(L309="oui","",IF(AND(L307&gt;=35,L307&lt;=39,L308="oui",L311="non"),((L304-L305)*2),IF(AND(AND(L307&gt;=33,L307&lt;=37),L308="oui",L311="oui"),((L304-L306)*2),"")))</f>
        <v/>
      </c>
    </row>
    <row r="320" spans="3:14">
      <c r="C320" s="67" t="s">
        <v>265</v>
      </c>
      <c r="D320" s="60">
        <v>1</v>
      </c>
      <c r="E320" s="102" t="str">
        <f t="shared" si="64"/>
        <v/>
      </c>
      <c r="F320" s="76" t="str">
        <f t="shared" si="65"/>
        <v/>
      </c>
      <c r="G320" s="201" t="str">
        <f t="shared" si="68"/>
        <v/>
      </c>
      <c r="H320" s="82" t="str">
        <f>IF(F309="oui","",IF(AND(AND(F307&gt;=40,F307&lt;=44),F308="oui",F311="non"),H314-(F306*4),IF(AND(AND(F307&gt;=40,F307&lt;=44),F308="oui",F311="oui"),H315-(F306*4),"")))</f>
        <v/>
      </c>
      <c r="I320"/>
      <c r="J320" s="67" t="s">
        <v>265</v>
      </c>
      <c r="K320" s="60">
        <v>1</v>
      </c>
      <c r="L320" s="61" t="str">
        <f t="shared" si="67"/>
        <v/>
      </c>
      <c r="M320" s="61" t="str">
        <f>IF(N320="","",N320*L310)</f>
        <v/>
      </c>
      <c r="N320" s="68" t="str">
        <f>IF(L309="oui","",IF(AND(L307&gt;=40,L307&lt;=44,L308="oui",L311="non"),((L304-L305)*2),IF(AND(AND(L307&gt;=38,L307&lt;=42),L308="oui",L311="oui"),((L304-L306)*2),"")))</f>
        <v/>
      </c>
    </row>
    <row r="321" spans="3:14">
      <c r="C321" s="67" t="s">
        <v>266</v>
      </c>
      <c r="D321" s="60">
        <v>1</v>
      </c>
      <c r="E321" s="102" t="str">
        <f t="shared" si="64"/>
        <v/>
      </c>
      <c r="F321" s="76" t="str">
        <f t="shared" si="65"/>
        <v/>
      </c>
      <c r="G321" s="201" t="str">
        <f t="shared" si="68"/>
        <v/>
      </c>
      <c r="H321" s="82" t="str">
        <f>IF(F309="oui","",IF(AND(AND(F307&gt;=45,F307&lt;=49),F308="oui",F311="non"),H314-(F306*4),IF(AND(AND(F307&gt;=45,F307&lt;=49),F308="oui",F311="oui"),H315-(F306*4),"")))</f>
        <v/>
      </c>
      <c r="I321"/>
      <c r="J321" s="67" t="s">
        <v>266</v>
      </c>
      <c r="K321" s="60">
        <v>1</v>
      </c>
      <c r="L321" s="61" t="str">
        <f t="shared" si="67"/>
        <v/>
      </c>
      <c r="M321" s="61" t="str">
        <f>IF(N321="","",N321*L310)</f>
        <v/>
      </c>
      <c r="N321" s="68" t="str">
        <f>IF(L309="oui","",IF(AND(L307&gt;=45,L307&lt;=49,L308="oui",L311="non"),((L304-L305)*2),IF(AND(AND(L307&gt;=43,L307&lt;=47),L308="oui",L311="oui"),((L304-L306)*2),"")))</f>
        <v/>
      </c>
    </row>
    <row r="322" spans="3:14" ht="15" thickBot="1">
      <c r="C322" s="69" t="s">
        <v>267</v>
      </c>
      <c r="D322" s="70">
        <v>1</v>
      </c>
      <c r="E322" s="104" t="str">
        <f t="shared" si="64"/>
        <v/>
      </c>
      <c r="F322" s="83" t="str">
        <f t="shared" si="65"/>
        <v/>
      </c>
      <c r="G322" s="201" t="str">
        <f t="shared" si="68"/>
        <v/>
      </c>
      <c r="H322" s="85" t="str">
        <f>IF(F309="oui","",IF(AND(F307=50,F308="oui",F311="non"),H314-(F306*4),IF(AND(F307=50,F308="oui",F311="oui"),H315-(F306*4),"")))</f>
        <v/>
      </c>
      <c r="I322"/>
      <c r="J322" s="69" t="s">
        <v>267</v>
      </c>
      <c r="K322" s="70">
        <v>1</v>
      </c>
      <c r="L322" s="71" t="str">
        <f t="shared" si="67"/>
        <v/>
      </c>
      <c r="M322" s="71" t="str">
        <f>IF(N322="","",N322*L310)</f>
        <v/>
      </c>
      <c r="N322" s="72" t="str">
        <f>IF(L309="oui","",IF(AND(L307=50,L308="oui",L311="non"),((L304-L305)*2),IF(AND(AND(L307&gt;=48,L307&lt;=50),L308="oui",L311="oui"),((L304-L306)*2),"")))</f>
        <v/>
      </c>
    </row>
    <row r="323" spans="3:14">
      <c r="C323" s="63" t="s">
        <v>40</v>
      </c>
      <c r="D323" s="64">
        <v>1</v>
      </c>
      <c r="E323" s="103" t="str">
        <f t="shared" si="64"/>
        <v/>
      </c>
      <c r="F323" s="79" t="str">
        <f t="shared" si="65"/>
        <v/>
      </c>
      <c r="G323" s="80" t="str">
        <f>IF(H323="","",H323*$F$14)</f>
        <v/>
      </c>
      <c r="H323" s="81" t="str">
        <f>IF(F309="oui","",IF(AND(OR(F307=30,F307=31),F308="non",F311="non"),H314-(F306*4),IF(AND(OR(F307=30,F307=31),F308="non",F311="oui"),H315-(F306*4),"")))</f>
        <v/>
      </c>
      <c r="I323"/>
      <c r="J323" s="63" t="s">
        <v>40</v>
      </c>
      <c r="K323" s="64">
        <v>1</v>
      </c>
      <c r="L323" s="65" t="str">
        <f t="shared" si="67"/>
        <v/>
      </c>
      <c r="M323" s="65" t="str">
        <f>IF(N323="","",N323*L310)</f>
        <v/>
      </c>
      <c r="N323" s="66" t="str">
        <f>IF(AND(OR(L307=30,L307=31),L308="non",L311="non"),((L304-L305)*2),"")</f>
        <v/>
      </c>
    </row>
    <row r="324" spans="3:14">
      <c r="C324" s="67" t="s">
        <v>41</v>
      </c>
      <c r="D324" s="60">
        <v>1</v>
      </c>
      <c r="E324" s="102" t="str">
        <f t="shared" si="64"/>
        <v/>
      </c>
      <c r="F324" s="76" t="str">
        <f t="shared" si="65"/>
        <v/>
      </c>
      <c r="G324" s="75" t="str">
        <f t="shared" ref="G324:G327" si="69">IF(H324="","",H324*$F$14)</f>
        <v/>
      </c>
      <c r="H324" s="82" t="str">
        <f>IF(F309="oui","",IF(AND(AND(F307&gt;=32,F307&lt;=36),F308="non",F311="non"),H314-(F306*4),IF(AND(AND(F307&gt;=32,F307&lt;=36),F308="non",F311="oui"),H315-(F306*4),"")))</f>
        <v/>
      </c>
      <c r="I324"/>
      <c r="J324" s="67" t="s">
        <v>41</v>
      </c>
      <c r="K324" s="60">
        <v>1</v>
      </c>
      <c r="L324" s="61" t="str">
        <f t="shared" si="67"/>
        <v/>
      </c>
      <c r="M324" s="61" t="str">
        <f>IF(N324="","",N324*L310)</f>
        <v/>
      </c>
      <c r="N324" s="68" t="str">
        <f>IF(L309="oui","",IF(AND(L307&gt;=32,L307&lt;=36,L308="non",L311="non"),((L304-L305)*2),IF(AND(AND(L307&gt;=30,L307&lt;=34),L308="non",L311="oui"),((L304-L306)*2),"")))</f>
        <v/>
      </c>
    </row>
    <row r="325" spans="3:14">
      <c r="C325" s="67" t="s">
        <v>42</v>
      </c>
      <c r="D325" s="60">
        <v>1</v>
      </c>
      <c r="E325" s="102" t="str">
        <f t="shared" si="64"/>
        <v/>
      </c>
      <c r="F325" s="76" t="str">
        <f t="shared" si="65"/>
        <v/>
      </c>
      <c r="G325" s="75" t="str">
        <f t="shared" si="69"/>
        <v/>
      </c>
      <c r="H325" s="82" t="str">
        <f>IF(F309="oui","",IF(AND(AND(F307&gt;=37,F307&lt;=41),F308="non",F311="non"),H314-(F306*4),IF(AND(AND(F307&gt;=37,F307&lt;=41),F308="non",F311="oui"),H315-(F306*4),"")))</f>
        <v/>
      </c>
      <c r="I325"/>
      <c r="J325" s="67" t="s">
        <v>42</v>
      </c>
      <c r="K325" s="60">
        <v>1</v>
      </c>
      <c r="L325" s="61" t="str">
        <f t="shared" si="67"/>
        <v/>
      </c>
      <c r="M325" s="61" t="str">
        <f>IF(N325="","",N325*L310)</f>
        <v/>
      </c>
      <c r="N325" s="68" t="str">
        <f>IF(L309="oui","",IF(AND(L307&gt;=37,L307&lt;=41,L308="non",L311="non"),((L304-L305)*2),IF(AND(AND(L307&gt;=35,L307&lt;=39),L308="non",L311="oui"),((L304-L306)*2),"")))</f>
        <v/>
      </c>
    </row>
    <row r="326" spans="3:14">
      <c r="C326" s="67" t="s">
        <v>43</v>
      </c>
      <c r="D326" s="60">
        <v>1</v>
      </c>
      <c r="E326" s="102" t="str">
        <f t="shared" si="64"/>
        <v/>
      </c>
      <c r="F326" s="76" t="str">
        <f t="shared" si="65"/>
        <v/>
      </c>
      <c r="G326" s="75" t="str">
        <f t="shared" si="69"/>
        <v/>
      </c>
      <c r="H326" s="82" t="str">
        <f>IF(F309="oui","",IF(AND(AND(F307&gt;=42,F307&lt;=46),F308="non",F311="non"),H314-(F306*4),IF(AND(AND(F307&gt;=42,F307&lt;=46),F308="non",F311="oui"),H315-(F306*4),"")))</f>
        <v/>
      </c>
      <c r="I326"/>
      <c r="J326" s="67" t="s">
        <v>43</v>
      </c>
      <c r="K326" s="60">
        <v>1</v>
      </c>
      <c r="L326" s="61" t="str">
        <f t="shared" si="67"/>
        <v/>
      </c>
      <c r="M326" s="61" t="str">
        <f>IF(N326="","",N326*L310)</f>
        <v/>
      </c>
      <c r="N326" s="68" t="str">
        <f>IF(L309="oui","",IF(AND(L307&gt;=42,L307&lt;=46,L308="non",L311="non"),((L304-L305)*2),IF(AND(AND(L307&gt;=40,L307&lt;=44),L308="non",L311="oui"),((L304-L306)*2),"")))</f>
        <v/>
      </c>
    </row>
    <row r="327" spans="3:14" ht="15" thickBot="1">
      <c r="C327" s="69" t="s">
        <v>44</v>
      </c>
      <c r="D327" s="70">
        <v>1</v>
      </c>
      <c r="E327" s="104" t="str">
        <f t="shared" si="64"/>
        <v/>
      </c>
      <c r="F327" s="86" t="str">
        <f t="shared" si="65"/>
        <v/>
      </c>
      <c r="G327" s="84" t="str">
        <f t="shared" si="69"/>
        <v/>
      </c>
      <c r="H327" s="85" t="str">
        <f>IF(F309="oui","",IF(AND(AND(F307&gt;=47,F307&lt;=50),F308="non",F311="non"),H314-(F306*4),IF(AND(AND(F307&gt;=47,F307&lt;=50),F308="non",F311="oui"),H315-(F306*4),"")))</f>
        <v/>
      </c>
      <c r="I327"/>
      <c r="J327" s="69" t="s">
        <v>44</v>
      </c>
      <c r="K327" s="70">
        <v>1</v>
      </c>
      <c r="L327" s="71" t="str">
        <f t="shared" si="67"/>
        <v/>
      </c>
      <c r="M327" s="71" t="str">
        <f>IF(N327="","",N327*L310)</f>
        <v/>
      </c>
      <c r="N327" s="72" t="str">
        <f>IF(L309="oui","",IF(AND(L307&gt;=47,L307&lt;=50,L308="non",L311="non"),((L304-L305)*2),IF(AND(AND(L307&gt;=45,L307&lt;=50),L308="non",L311="oui"),((L304-L306)*2),"")))</f>
        <v/>
      </c>
    </row>
    <row r="328" spans="3:14">
      <c r="C328" s="63" t="s">
        <v>45</v>
      </c>
      <c r="D328" s="64">
        <v>1</v>
      </c>
      <c r="E328" s="103" t="str">
        <f t="shared" si="64"/>
        <v/>
      </c>
      <c r="F328" s="87" t="str">
        <f t="shared" si="65"/>
        <v/>
      </c>
      <c r="G328" s="80" t="str">
        <f>IF(H328="","",H328*$F$14)</f>
        <v/>
      </c>
      <c r="H328" s="88" t="str">
        <f>IF(AND(OR(F307=30,F307=31),H314&lt;&gt;"",H317&lt;&gt;""),H314-H317,IF(AND(OR(F307=30,F307=31),H315&lt;&gt;"",H317&lt;&gt;""),H315-H317,IF(AND(OR(F307=30,F307=31),F308="oui",F311="non"),H314-H318,IF(AND(OR(F307=30,F307=31),F308="non",F311="non"),H314-H323,IF(AND(OR(F307=30,F307=31),F308="oui",F311="oui"),H315-H318,IF(AND(OR(F307=30,F307=31),F308="non",F311="oui"),H315-H323,""))))))</f>
        <v/>
      </c>
      <c r="I328"/>
      <c r="J328" s="63" t="s">
        <v>45</v>
      </c>
      <c r="K328" s="64">
        <v>1</v>
      </c>
      <c r="L328" s="65" t="str">
        <f t="shared" si="67"/>
        <v/>
      </c>
      <c r="M328" s="65" t="str">
        <f>IF(N328="","",N328*L310)</f>
        <v/>
      </c>
      <c r="N328" s="66" t="str">
        <f>IF(AND(OR(L307=30,L307=31),L309="oui",L311="non"),N314-N317,IF(AND(OR(L307=30,L307=31),L308="oui",L311="oui"),N314-N318,IF(AND(OR(L307=30,L307=31),L308="non",L311="oui"),N314-N324,IF(AND(OR(L307=30,L307=31),L308="oui",L311="non"),N314-N318,IF(AND(OR(L307=30,L307=31),L308="non",L311="non"),N314-N323,"")))))</f>
        <v/>
      </c>
    </row>
    <row r="329" spans="3:14">
      <c r="C329" s="67" t="s">
        <v>46</v>
      </c>
      <c r="D329" s="60">
        <v>1</v>
      </c>
      <c r="E329" s="102" t="str">
        <f t="shared" si="64"/>
        <v/>
      </c>
      <c r="F329" s="76" t="str">
        <f t="shared" si="65"/>
        <v/>
      </c>
      <c r="G329" s="75" t="str">
        <f t="shared" ref="G329:G336" si="70">IF(H329="","",H329*$F$14)</f>
        <v/>
      </c>
      <c r="H329" s="82" t="str">
        <f>IF(AND(OR(F307=32,F307=33),H314&lt;&gt;"",H317&lt;&gt;""),H314-H317,IF(AND(OR(F307=32,F307=33),H315&lt;&gt;"",H317&lt;&gt;""),H315-H317,IF(AND(OR(F307=32,F307=33),F308="oui",F311="non"),H314-H318,IF(AND(OR(F307=32,F307=33),F308="non",F311="non"),H314-H324,IF(AND(OR(F307=32,F307=33),F308="oui",F311="oui"),H315-H318,IF(AND(OR(F307=32,F307=33),F308="non",F311="oui"),H315-H324,""))))))</f>
        <v/>
      </c>
      <c r="I329"/>
      <c r="J329" s="67" t="s">
        <v>46</v>
      </c>
      <c r="K329" s="60">
        <v>1</v>
      </c>
      <c r="L329" s="61" t="str">
        <f t="shared" si="67"/>
        <v/>
      </c>
      <c r="M329" s="61" t="str">
        <f>IF(N329="","",N329*L310)</f>
        <v/>
      </c>
      <c r="N329" s="68" t="str">
        <f>IF(AND(OR(L307=32,L307=33),L309="oui",L311="non"),N314-N317,IF(AND(L307=32,L308="oui",L311="oui"),N314-N318,IF(AND(L307=33,L308="oui",L311="oui"),N314-N319,IF(AND(OR(L307=32,L307=33),L308="non",L311="oui"),N314-N324,IF(AND(OR(L307=32,L307=33),L308="oui",L311="non"),N314-N318,IF(AND(OR(L307=32,L307=33),L308="non",L311="non"),N314-N324,""))))))</f>
        <v/>
      </c>
    </row>
    <row r="330" spans="3:14">
      <c r="C330" s="67" t="s">
        <v>47</v>
      </c>
      <c r="D330" s="60">
        <v>1</v>
      </c>
      <c r="E330" s="102">
        <f t="shared" si="64"/>
        <v>0</v>
      </c>
      <c r="F330" s="76">
        <f>IF(H330="","",ROUNDUP(H330+G330,0))</f>
        <v>0</v>
      </c>
      <c r="G330" s="75">
        <f t="shared" si="70"/>
        <v>0</v>
      </c>
      <c r="H330" s="82">
        <f>IF(AND(OR(F307=34,F307=35),H314&lt;&gt;"",H317&lt;&gt;""),H314-H317,IF(AND(OR(F307=34,F307=35),H315&lt;&gt;"",H317&lt;&gt;""),H315-H317,IF(AND(F307=34,F308="oui",F311="non"),H314-H318,IF(AND(F307=35,F308="oui",F311="non"),H314-H319,IF(AND(OR(F307=34,F307=35),F308="non",F311="non"),H314-H324,IF(AND(F307=34,F308="oui",F311="oui"),H315-H318,IF(AND(F307=35,F308="oui",F311="oui"),H315-H319,IF(AND(OR(F307=34,F307=35),F308="non",F311="oui"),H315-H324,""))))))))</f>
        <v>0</v>
      </c>
      <c r="I330"/>
      <c r="J330" s="67" t="s">
        <v>47</v>
      </c>
      <c r="K330" s="60">
        <v>1</v>
      </c>
      <c r="L330" s="61" t="str">
        <f t="shared" si="67"/>
        <v/>
      </c>
      <c r="M330" s="61" t="str">
        <f>IF(N330="","",N330*L310)</f>
        <v/>
      </c>
      <c r="N330" s="68" t="str">
        <f>IF(AND(OR(L307=34,L307=35),L309="oui",L311="non"),N314-N317,IF(AND(OR(L307=34,L307=35),L308="oui",L311="oui"),N314-N319,IF(AND(L307=34,L308="non",L311="oui"),N314-N324,IF(AND(L307=35,L308="non",L311="oui"),N314-N325,IF(AND(L307=34,L308="oui",L311="non"),N314-N318,IF(AND(L307=35,L308="oui",L311="non"),N314-N319,IF(AND(OR(L307=34,L307=35),L308="non",L311="non"),N314-N324,"")))))))</f>
        <v/>
      </c>
    </row>
    <row r="331" spans="3:14">
      <c r="C331" s="67" t="s">
        <v>48</v>
      </c>
      <c r="D331" s="60">
        <v>1</v>
      </c>
      <c r="E331" s="102" t="str">
        <f t="shared" si="64"/>
        <v/>
      </c>
      <c r="F331" s="76" t="str">
        <f t="shared" ref="F331:F336" si="71">IF(H331="","",ROUNDUP(H331+G331,0))</f>
        <v/>
      </c>
      <c r="G331" s="75" t="str">
        <f t="shared" si="70"/>
        <v/>
      </c>
      <c r="H331" s="82" t="str">
        <f>IF(AND(OR(F307=36,F307=37),H314&lt;&gt;"",H317&lt;&gt;""),H314-H317,IF(AND(OR(F307=36,F307=37),H315&lt;&gt;"",H317&lt;&gt;""),H315-H317,IF(AND(F307=36,F308="oui",F311="non"),H314-H319,IF(AND(F307=36,F308="non",F311="non"),H314-H324,IF(AND(F307=37,F308="oui",F311="non"),H314-H319,IF(AND(F307=37,F308="non",F311="non"),H314-H325,IF(AND(F307=36,F308="oui",F311="oui"),H315-H319,IF(AND(F307=36,F308="non",F311="oui"),H315-H324,IF(AND(F307=37,F308="oui",F311="oui"),H315-H319,IF(AND(F307=37,F308="non",F311="oui"),H315-H325,""))))))))))</f>
        <v/>
      </c>
      <c r="I331"/>
      <c r="J331" s="67" t="s">
        <v>48</v>
      </c>
      <c r="K331" s="60">
        <v>1</v>
      </c>
      <c r="L331" s="61" t="str">
        <f t="shared" si="67"/>
        <v/>
      </c>
      <c r="M331" s="61" t="str">
        <f>IF(N331="","",N331*L310)</f>
        <v/>
      </c>
      <c r="N331" s="68" t="str">
        <f>IF(AND(OR(L307=36,L307=37),L309="oui",L311="non"),N314-N317,IF(AND(OR(L307=36,L307=37),L308="oui",L311="oui"),N314-N319,IF(AND(OR(L307=36,L307=37),L308="non",L311="oui"),N314-N325,IF(AND(OR(L307=36,L307=37),L308="oui",L311="non"),N314-N319,IF(AND(L307=36,L308="non",L311="non"),N314-N324,IF(AND(L307=37,L308="non",L311="non"),N314-N325,""))))))</f>
        <v/>
      </c>
    </row>
    <row r="332" spans="3:14">
      <c r="C332" s="67" t="s">
        <v>49</v>
      </c>
      <c r="D332" s="60">
        <v>1</v>
      </c>
      <c r="E332" s="102" t="str">
        <f t="shared" si="64"/>
        <v/>
      </c>
      <c r="F332" s="76" t="str">
        <f t="shared" si="71"/>
        <v/>
      </c>
      <c r="G332" s="75" t="str">
        <f t="shared" si="70"/>
        <v/>
      </c>
      <c r="H332" s="82" t="str">
        <f>IF(AND(OR(F307=38,F307=39),H314&lt;&gt;"",H317&lt;&gt;""),H314-H317,IF(AND(OR(F307=36,F307=37),H315&lt;&gt;"",H317&lt;&gt;""),H315-H317,IF(AND(OR(F307=38,F307=39),F308="oui",F311="non"),H314-H319,IF(AND(OR(F307=38,F307=39),F308="non",F311="non"),H314-H325,IF(AND(OR(F307=38,F307=39),F308="oui",F311="oui"),H315-H319,IF(AND(OR(F307=38,F307=39),F308="non",F311="oui"),H315-H325,""))))))</f>
        <v/>
      </c>
      <c r="I332"/>
      <c r="J332" s="67" t="s">
        <v>49</v>
      </c>
      <c r="K332" s="60">
        <v>1</v>
      </c>
      <c r="L332" s="61" t="str">
        <f t="shared" si="67"/>
        <v/>
      </c>
      <c r="M332" s="61" t="str">
        <f>IF(N332="","",N332*L310)</f>
        <v/>
      </c>
      <c r="N332" s="68" t="str">
        <f>IF(AND(OR(L307=38,L307=39),L309="oui",L311="non"),N314-N317,IF(AND(OR(L307=38,L307=39),L308="oui",L311="oui"),N314-N320,IF(AND(OR(L307=38,L307=39),L308="non",L311="oui"),N314-N325,IF(AND(OR(L307=38,L307=39),L308="oui",L311="non"),N314-N319,IF(AND(OR(L307=38,L307=39),L308="non",L311="non"),N314-N325,"")))))</f>
        <v/>
      </c>
    </row>
    <row r="333" spans="3:14">
      <c r="C333" s="67" t="s">
        <v>50</v>
      </c>
      <c r="D333" s="60">
        <v>1</v>
      </c>
      <c r="E333" s="102" t="str">
        <f t="shared" si="64"/>
        <v/>
      </c>
      <c r="F333" s="76" t="str">
        <f t="shared" si="71"/>
        <v/>
      </c>
      <c r="G333" s="75" t="str">
        <f t="shared" si="70"/>
        <v/>
      </c>
      <c r="H333" s="82" t="str">
        <f>IF(AND(OR(F307=40,F307=41),H314&lt;&gt;"",H317&lt;&gt;""),H314-H317,IF(AND(OR(F307=40,F307=41),H315&lt;&gt;"",H317&lt;&gt;""),H315-H317,IF(AND(OR(F307=40,F307=41),F308="oui",F311="non"),H314-H320,IF(AND(OR(F307=40,F307=41),F308="non",F311="non"),H314-H325,IF(AND(OR(F307=40,F307=41),F308="oui",F311="oui"),H315-H320,IF(AND(OR(F307=40,F307=41),F308="non",F311="oui"),H315-H325,""))))))</f>
        <v/>
      </c>
      <c r="I333"/>
      <c r="J333" s="67" t="s">
        <v>50</v>
      </c>
      <c r="K333" s="60">
        <v>1</v>
      </c>
      <c r="L333" s="61" t="str">
        <f t="shared" si="67"/>
        <v/>
      </c>
      <c r="M333" s="61" t="str">
        <f>IF(N333="","",N333*L310)</f>
        <v/>
      </c>
      <c r="N333" s="68" t="str">
        <f>IF(AND(OR(L307=40,L307=41),L309="oui",L311="non"),N314-N317,IF(AND(OR(L307=40,L307=41),L308="oui",L311="oui"),N314-N320,IF(AND(OR(L307=40,L307=41),L308="non",L311="oui"),N314-N326,IF(AND(OR(L307=40,L307=41),L308="oui",L311="non"),N314-N320,IF(AND(OR(L307=40,L307=41),L308="non",L311="non"),N314-N325,"")))))</f>
        <v/>
      </c>
    </row>
    <row r="334" spans="3:14">
      <c r="C334" s="67" t="s">
        <v>51</v>
      </c>
      <c r="D334" s="60">
        <v>1</v>
      </c>
      <c r="E334" s="102" t="str">
        <f t="shared" si="64"/>
        <v/>
      </c>
      <c r="F334" s="76" t="str">
        <f t="shared" si="71"/>
        <v/>
      </c>
      <c r="G334" s="75" t="str">
        <f t="shared" si="70"/>
        <v/>
      </c>
      <c r="H334" s="82" t="str">
        <f>IF(AND(OR(F307=42,F307=43,F307=44),H314&lt;&gt;"",H317&lt;&gt;""),H314-H317,IF(AND(OR(F307=42,F307=43,F307=44),H315&lt;&gt;"",H317&lt;&gt;""),H315-H317,IF(AND(AND(F307&gt;=42,F307&lt;=44),F308="oui",F311="non"),H314-H320,IF(AND(AND(F307&gt;=42,F307&lt;=44),F308="non",F311="non"),H314-H326,IF(AND(AND(F307&gt;=42,F307&lt;=44),F308="oui",F311="oui"),H315-H320,IF(AND(AND(F307&gt;=42,F307&lt;=44),F308="non",F311="oui"),H315-H326,""))))))</f>
        <v/>
      </c>
      <c r="I334"/>
      <c r="J334" s="67" t="s">
        <v>51</v>
      </c>
      <c r="K334" s="60">
        <v>1</v>
      </c>
      <c r="L334" s="61" t="str">
        <f t="shared" si="67"/>
        <v/>
      </c>
      <c r="M334" s="61" t="str">
        <f>IF(N334="","",N334*L310)</f>
        <v/>
      </c>
      <c r="N334" s="68" t="str">
        <f>IF(AND(OR(L307=42,L307=43,L307=44),L309="oui",L311="non"),N314-N317,IF(AND(L307=42,L308="oui",L311="oui"),N314-N320,IF(AND(OR(L307=42,L307=43),L308="oui",L311="oui"),N314-N321,IF(AND(OR(L307=42,L307=43,L307=44),L308="non",L311="oui"),N314-N326,IF(AND(OR(L307=42,L307=43,L307=44),L308="oui",L311="non"),N314-N320,IF(AND(OR(L307=42,L307=43,L307=44),L308="non",L311="non"),N314-N326,""))))))</f>
        <v/>
      </c>
    </row>
    <row r="335" spans="3:14">
      <c r="C335" s="67" t="s">
        <v>52</v>
      </c>
      <c r="D335" s="60">
        <v>1</v>
      </c>
      <c r="E335" s="105" t="str">
        <f t="shared" si="64"/>
        <v/>
      </c>
      <c r="F335" s="83" t="str">
        <f t="shared" si="71"/>
        <v/>
      </c>
      <c r="G335" s="75" t="str">
        <f t="shared" si="70"/>
        <v/>
      </c>
      <c r="H335" s="82" t="str">
        <f>IF(AND(OR(F307=45,F307=46,F307=47,F307=48,F307=49),H314&lt;&gt;"",H317&lt;&gt;""),H314-H317,IF(AND(OR(F307=45,F307=46,F307=47,F307=48,F307=49),H315&lt;&gt;"",H317&lt;&gt;""),H315-H317,IF(AND(OR(F307=45,F307=46),F308="oui",F311="non"),H314-H321,IF(AND(OR(F307=45,F307=46),F308="non",F311="non"),H314-H326,IF(AND(AND(F307&gt;=47,F307&lt;=49),F308="oui",F311="non"),H314-H321,IF(AND(AND(F307&gt;=47,F307&lt;=49),F308="non",F311="non"),H314-H327,IF(AND(OR(F307=45,F307=46),F308="oui",F311="oui"),H315-H321,IF(AND(OR(F307=45,F307=46),F308="non",F311="oui"),H315-H326,IF(AND(AND(F307&gt;=47,F307&lt;=49),F308="oui",F311="oui"),H315-H321,IF(AND(AND(F307&gt;=47,F307&lt;=49),F308="non",F311="oui"),H315-H327,""))))))))))</f>
        <v/>
      </c>
      <c r="I335"/>
      <c r="J335" s="67" t="s">
        <v>52</v>
      </c>
      <c r="K335" s="60">
        <v>1</v>
      </c>
      <c r="L335" s="61" t="str">
        <f t="shared" si="67"/>
        <v/>
      </c>
      <c r="M335" s="61" t="str">
        <f>IF(N335="","",N335*L310)</f>
        <v/>
      </c>
      <c r="N335" s="68" t="str">
        <f>IF(AND(AND(L307&gt;=45,L307&lt;=49),L309="oui",L311="non"),N314-N317,IF(AND(OR(L307=45,L307=46,L307=47),L308="oui",L311="oui"),N314-N321,IF(AND(OR(L307=48,L307=49),L308="oui",L311="oui"),N314-N322,IF(AND(AND(L307&gt;=45,L307&lt;=49),L308="non",L311="oui"),N314-N327,IF(AND(AND(L307&gt;=45,L307&lt;=49),L308="oui",L311="non"),N314-N321,IF(AND(OR(L307=45,L307=46),L308="non",L311="non"),N314-N326,IF(AND(AND(L307&gt;=47,L307&lt;=49),L308="non",L311="non"),N314-N327,"")))))))</f>
        <v/>
      </c>
    </row>
    <row r="336" spans="3:14" ht="15" thickBot="1">
      <c r="C336" s="69" t="s">
        <v>53</v>
      </c>
      <c r="D336" s="70">
        <v>1</v>
      </c>
      <c r="E336" s="104" t="str">
        <f t="shared" si="64"/>
        <v/>
      </c>
      <c r="F336" s="86" t="str">
        <f t="shared" si="71"/>
        <v/>
      </c>
      <c r="G336" s="84" t="str">
        <f t="shared" si="70"/>
        <v/>
      </c>
      <c r="H336" s="85" t="str">
        <f>IF(AND(F307=50,H314&lt;&gt;"",H317&lt;&gt;""),H314-H317,IF(AND(F307=50,H315&lt;&gt;"",H317&lt;&gt;""),H315-H317,IF(AND(F307=50,F308="oui",F311="non"),H314-H322,IF(AND(F307=50,F308="non",F311="non"),H314-H327,IF(AND(F307=50,F308="oui",F311="oui"),H315-H322,IF(AND(F307=50,F308="non",F311="oui"),H315-H327,""))))))</f>
        <v/>
      </c>
      <c r="I336"/>
      <c r="J336" s="69" t="s">
        <v>53</v>
      </c>
      <c r="K336" s="70">
        <v>1</v>
      </c>
      <c r="L336" s="71" t="str">
        <f t="shared" si="67"/>
        <v/>
      </c>
      <c r="M336" s="71" t="str">
        <f>IF(N336="","",N336*L310)</f>
        <v/>
      </c>
      <c r="N336" s="236" t="str">
        <f>IF(AND(L307=50,L309="oui",L311="non"),N314-N317,IF(AND(L307=50,L308="oui",L311="oui"),N314-N322,IF(AND(L307=50,L308="non",L311="oui"),N314-N327,IF(AND(L307=50,L308="oui",L311="non"),N314-N322,IF(AND(L307=50,L308="non",L311="non"),N314-N327,"")))))</f>
        <v/>
      </c>
    </row>
    <row r="337" spans="3:14" ht="15" thickBot="1">
      <c r="C337" s="205" t="s">
        <v>105</v>
      </c>
      <c r="D337" s="206">
        <v>1</v>
      </c>
      <c r="E337" s="207">
        <f t="shared" si="64"/>
        <v>0</v>
      </c>
      <c r="F337" s="197">
        <f>IF(H337="","",ROUNDUP(H337+G337,0))</f>
        <v>0</v>
      </c>
      <c r="G337" s="197">
        <f>IF(H337="","",H337*$F$14)</f>
        <v>0</v>
      </c>
      <c r="H337" s="197">
        <f>IF(F306="","",(IF(OR(F307=30,F307=31),F328/2, IF(OR(F307=32,F307=33),F329/2,IF(OR(F307=34,F307=35),F330/2,IF(OR(F307=36,F307=37),F331/2,IF(OR(F307=38,F307=39),F332/2,IF(OR(F307=40,F307=41),F333/2,IF(OR(F307=42,F307=43,F307=44),F334/2,IF(OR(F307=45,F307=46,F307=47,F307=48,F307=49),F335/2,IF(F307=50,F336/2)))))))))))</f>
        <v>0</v>
      </c>
      <c r="I337"/>
      <c r="J337" s="205" t="s">
        <v>105</v>
      </c>
      <c r="K337" s="206">
        <v>1</v>
      </c>
      <c r="L337" s="197" t="str">
        <f>IF(N337="","",ROUNDUP(N337+M337,0))</f>
        <v/>
      </c>
      <c r="M337" s="197" t="str">
        <f>IF(N337="","",N337*$F$14)</f>
        <v/>
      </c>
      <c r="N337" s="197" t="str">
        <f>IF(L306="","",(IF(L311="oui",L304,(IF(OR(L307=30,L307=31),L328/2, IF(OR(L307=32,L307=33),L329/2,IF(OR(L307=34,L307=35),L330/2,IF(OR(L307=36,L307=37),L331/2,IF(OR(L307=38,L307=39),L332/2,IF(OR(L307=40,L307=41),L333/2,IF(OR(L307=42,L307=43,L307=44),L334/2,IF(OR(L307=45,L307=46,L307=47,L307=48,L307=49),L335/2,IF(L307=50,L336/2)))))))))))))</f>
        <v/>
      </c>
    </row>
    <row r="338" spans="3:14" ht="15" thickBot="1"/>
    <row r="339" spans="3:14" ht="15" thickBot="1">
      <c r="C339" s="337" t="s">
        <v>206</v>
      </c>
      <c r="D339" s="338"/>
      <c r="E339" s="338"/>
      <c r="F339" s="339"/>
      <c r="J339" s="337" t="s">
        <v>207</v>
      </c>
      <c r="K339" s="338"/>
      <c r="L339" s="339"/>
    </row>
    <row r="340" spans="3:14">
      <c r="C340" s="340" t="s">
        <v>15</v>
      </c>
      <c r="D340" s="340"/>
      <c r="E340" s="175"/>
      <c r="F340" s="101" t="s">
        <v>25</v>
      </c>
      <c r="G340" s="176"/>
      <c r="H340" s="40"/>
      <c r="J340" s="341" t="s">
        <v>128</v>
      </c>
      <c r="K340" s="341"/>
      <c r="L340" s="177" t="s">
        <v>25</v>
      </c>
      <c r="M340" s="178"/>
      <c r="N340" s="178"/>
    </row>
    <row r="341" spans="3:14">
      <c r="C341" s="336" t="s">
        <v>26</v>
      </c>
      <c r="D341" s="336"/>
      <c r="E341" s="179"/>
      <c r="F341" s="14">
        <v>0</v>
      </c>
      <c r="G341" s="19"/>
      <c r="H341" s="180"/>
      <c r="J341" s="336" t="s">
        <v>26</v>
      </c>
      <c r="K341" s="336"/>
      <c r="L341" s="42"/>
      <c r="M341" s="181"/>
      <c r="N341" s="182"/>
    </row>
    <row r="342" spans="3:14" ht="14.25" customHeight="1">
      <c r="C342" s="336" t="s">
        <v>27</v>
      </c>
      <c r="D342" s="336"/>
      <c r="E342" s="179"/>
      <c r="F342" s="14">
        <v>0</v>
      </c>
      <c r="G342" s="19"/>
      <c r="H342" s="180"/>
      <c r="J342" s="336" t="s">
        <v>27</v>
      </c>
      <c r="K342" s="336"/>
      <c r="L342" s="42"/>
      <c r="M342" s="181"/>
      <c r="N342" s="182"/>
    </row>
    <row r="343" spans="3:14">
      <c r="C343" s="336" t="s">
        <v>28</v>
      </c>
      <c r="D343" s="336"/>
      <c r="E343" s="179"/>
      <c r="F343" s="14">
        <v>0</v>
      </c>
      <c r="G343" s="19"/>
      <c r="H343" s="180"/>
      <c r="J343" s="336" t="s">
        <v>28</v>
      </c>
      <c r="K343" s="336"/>
      <c r="L343" s="42"/>
      <c r="M343" s="181"/>
      <c r="N343" s="182"/>
    </row>
    <row r="344" spans="3:14">
      <c r="C344" s="336" t="s">
        <v>29</v>
      </c>
      <c r="D344" s="336"/>
      <c r="E344" s="179"/>
      <c r="F344" s="14">
        <v>35</v>
      </c>
      <c r="G344" s="19"/>
      <c r="H344" s="180"/>
      <c r="J344" s="336" t="s">
        <v>136</v>
      </c>
      <c r="K344" s="336"/>
      <c r="L344" s="14"/>
      <c r="M344" s="181"/>
      <c r="N344" s="182"/>
    </row>
    <row r="345" spans="3:14">
      <c r="C345" s="336" t="s">
        <v>270</v>
      </c>
      <c r="D345" s="336"/>
      <c r="E345" s="179"/>
      <c r="F345" s="14" t="s">
        <v>33</v>
      </c>
      <c r="G345" s="19"/>
      <c r="H345" s="180"/>
      <c r="J345" s="336" t="s">
        <v>270</v>
      </c>
      <c r="K345" s="336"/>
      <c r="L345" s="14"/>
      <c r="M345" s="181"/>
      <c r="N345" s="182"/>
    </row>
    <row r="346" spans="3:14">
      <c r="C346" s="336" t="s">
        <v>272</v>
      </c>
      <c r="D346" s="336"/>
      <c r="E346" s="179"/>
      <c r="F346" s="14" t="s">
        <v>33</v>
      </c>
      <c r="G346" s="19"/>
      <c r="H346" s="180"/>
      <c r="J346" s="331" t="s">
        <v>269</v>
      </c>
      <c r="K346" s="332"/>
      <c r="L346" s="14"/>
      <c r="M346" s="181"/>
      <c r="N346" s="182"/>
    </row>
    <row r="347" spans="3:14">
      <c r="C347" s="336" t="s">
        <v>146</v>
      </c>
      <c r="D347" s="336"/>
      <c r="E347" s="179"/>
      <c r="F347" s="15">
        <v>0</v>
      </c>
      <c r="G347" s="16"/>
      <c r="H347"/>
      <c r="J347" s="336" t="s">
        <v>135</v>
      </c>
      <c r="K347" s="336"/>
      <c r="L347" s="15"/>
      <c r="M347" s="183"/>
      <c r="N347" s="184"/>
    </row>
    <row r="348" spans="3:14">
      <c r="C348" s="334" t="s">
        <v>250</v>
      </c>
      <c r="D348" s="334"/>
      <c r="E348" s="179"/>
      <c r="F348" s="239" t="s">
        <v>65</v>
      </c>
      <c r="G348" s="185"/>
      <c r="H348"/>
      <c r="J348" s="334" t="s">
        <v>252</v>
      </c>
      <c r="K348" s="334"/>
      <c r="L348" s="239"/>
      <c r="M348" s="181"/>
      <c r="N348" s="182"/>
    </row>
    <row r="349" spans="3:14" ht="15" thickBot="1">
      <c r="C349"/>
      <c r="D349"/>
      <c r="E349"/>
      <c r="H349"/>
      <c r="J349" s="335"/>
      <c r="K349" s="335"/>
      <c r="L349" s="41"/>
      <c r="M349" s="41"/>
      <c r="N349" s="186"/>
    </row>
    <row r="350" spans="3:14">
      <c r="C350" s="187" t="s">
        <v>34</v>
      </c>
      <c r="D350" s="188" t="s">
        <v>35</v>
      </c>
      <c r="E350" s="188"/>
      <c r="F350" s="188" t="s">
        <v>25</v>
      </c>
      <c r="G350" s="80" t="str">
        <f>IF(H350="","",H350*F347)</f>
        <v/>
      </c>
      <c r="H350" s="81"/>
      <c r="I350"/>
      <c r="J350" s="189" t="s">
        <v>34</v>
      </c>
      <c r="K350" s="189" t="s">
        <v>35</v>
      </c>
      <c r="L350" s="177" t="s">
        <v>25</v>
      </c>
      <c r="M350" s="178"/>
      <c r="N350" s="178"/>
    </row>
    <row r="351" spans="3:14">
      <c r="C351" s="67" t="s">
        <v>38</v>
      </c>
      <c r="D351" s="60">
        <v>1</v>
      </c>
      <c r="E351" s="102">
        <f>F351</f>
        <v>0</v>
      </c>
      <c r="F351" s="74">
        <f>IF(H351="","",ROUNDUP(G351+H351,0))</f>
        <v>0</v>
      </c>
      <c r="G351" s="75">
        <f>IF(H351="","",H351*F347)</f>
        <v>0</v>
      </c>
      <c r="H351" s="82">
        <f>IF(OR(F348="oui",F348=""),"",IF((F348="non"),IF(OR(F341="",F343=""),"",(F341+F343)*2)))</f>
        <v>0</v>
      </c>
      <c r="I351"/>
      <c r="J351" s="59" t="s">
        <v>134</v>
      </c>
      <c r="K351" s="60">
        <v>1</v>
      </c>
      <c r="L351" s="61" t="str">
        <f>IF(N351="","",ROUNDUP(N351+M351+1,0))</f>
        <v/>
      </c>
      <c r="M351" s="61" t="str">
        <f>IF(N351="","",N351*L347)</f>
        <v/>
      </c>
      <c r="N351" s="62" t="str">
        <f>IF(OR(L341="",L342=""),"",IF(L348="non",((L341*2)+(L342*2)),IF(L348="oui",((L341*2)+(L343*2)))))</f>
        <v/>
      </c>
    </row>
    <row r="352" spans="3:14">
      <c r="C352" s="67" t="s">
        <v>249</v>
      </c>
      <c r="D352" s="60">
        <v>1</v>
      </c>
      <c r="E352" s="102" t="str">
        <f>F352</f>
        <v/>
      </c>
      <c r="F352" s="74" t="str">
        <f>IF(H352="","",ROUNDUP(G352+H352,0))</f>
        <v/>
      </c>
      <c r="G352" s="75" t="str">
        <f>IF(H352="","",H352*F347)</f>
        <v/>
      </c>
      <c r="H352" s="82" t="str">
        <f>IF(OR(F348="non",F348=""),"",IF((F348="oui"),IF(OR(F341="",F343=""),"",(F341+F343)*2)))</f>
        <v/>
      </c>
      <c r="I352"/>
      <c r="J352" s="59" t="s">
        <v>253</v>
      </c>
      <c r="K352" s="60">
        <v>1</v>
      </c>
      <c r="L352" s="61" t="str">
        <f>IF(N352="","",ROUNDUP(N352+M352+1,0))</f>
        <v/>
      </c>
      <c r="M352" s="61" t="str">
        <f>IF(N352="","",N352*L347)</f>
        <v/>
      </c>
      <c r="N352" s="62" t="str">
        <f>IF(L348="oui",N351,"")</f>
        <v/>
      </c>
    </row>
    <row r="353" spans="3:14" ht="15" thickBot="1">
      <c r="C353" s="69" t="s">
        <v>39</v>
      </c>
      <c r="D353" s="70">
        <v>100</v>
      </c>
      <c r="E353" s="104">
        <f>F353</f>
        <v>0</v>
      </c>
      <c r="F353" s="190">
        <f>IF(H353="","",ROUNDUP(G353+H353,0))</f>
        <v>0</v>
      </c>
      <c r="G353" s="191">
        <f>IF(H353="","",H353*F347)</f>
        <v>0</v>
      </c>
      <c r="H353" s="85">
        <f>IF(AND(H351="",H352=""),"",IF(H351&lt;&gt;"",(H351*3)/100,IF(H352&lt;&gt;"",(H352*3)/100)))</f>
        <v>0</v>
      </c>
      <c r="I353"/>
      <c r="J353" s="77" t="s">
        <v>39</v>
      </c>
      <c r="K353" s="78">
        <v>100</v>
      </c>
      <c r="L353" s="192" t="str">
        <f>IF(N353="","",ROUNDUP(N353+M353,0))</f>
        <v/>
      </c>
      <c r="M353" s="192" t="str">
        <f>IF(N353="","",N353*L347)</f>
        <v/>
      </c>
      <c r="N353" s="193" t="str">
        <f>IF(N351="","",(L351*4)/100)</f>
        <v/>
      </c>
    </row>
    <row r="354" spans="3:14" ht="15" thickBot="1">
      <c r="C354" s="312" t="s">
        <v>262</v>
      </c>
      <c r="D354" s="64">
        <v>1</v>
      </c>
      <c r="E354" s="194">
        <f t="shared" ref="E354:E374" si="72">F354</f>
        <v>0</v>
      </c>
      <c r="F354" s="195">
        <f t="shared" ref="F354:F366" si="73">IF(H354="","",ROUNDUP(H354+G354,0))</f>
        <v>0</v>
      </c>
      <c r="G354" s="196">
        <f t="shared" ref="G354" si="74">IF(H354="","",H354*$F$14)</f>
        <v>0</v>
      </c>
      <c r="H354" s="197">
        <f>IF(AND(F345="oui",F346="oui",F348="non"),H351-(F343*4),IF(AND(F345="oui",F346="oui",F348="oui"),H352-(F343*4),""))</f>
        <v>0</v>
      </c>
      <c r="I354"/>
      <c r="J354" s="312" t="s">
        <v>262</v>
      </c>
      <c r="K354" s="198">
        <v>1</v>
      </c>
      <c r="L354" s="199" t="str">
        <f t="shared" ref="L354:L373" si="75">IF(N354="","",ROUNDUP(N354+M354,0))</f>
        <v/>
      </c>
      <c r="M354" s="199" t="str">
        <f>IF(N354="","",N354*L347)</f>
        <v/>
      </c>
      <c r="N354" s="200" t="str">
        <f>IF(AND(L345="oui",L346="oui",L348="non"),((L341-L342)*2),"")</f>
        <v/>
      </c>
    </row>
    <row r="355" spans="3:14">
      <c r="C355" s="313" t="s">
        <v>263</v>
      </c>
      <c r="D355" s="64">
        <v>1</v>
      </c>
      <c r="E355" s="103" t="str">
        <f t="shared" si="72"/>
        <v/>
      </c>
      <c r="F355" s="87" t="str">
        <f t="shared" si="73"/>
        <v/>
      </c>
      <c r="G355" s="201" t="str">
        <f>IF(H355="","",H355*$F$14)</f>
        <v/>
      </c>
      <c r="H355" s="173" t="str">
        <f>IF(F346="oui","",IF(AND(AND(F344&gt;=30,F344&lt;=34),F345="oui",F346="non",F348="non"),H351-(F343*4),IF(AND(AND(F344&gt;=30,F344&lt;=34),F345="oui",F346="non",F348="oui"),H352-(F343*4),"")))</f>
        <v/>
      </c>
      <c r="I355"/>
      <c r="J355" s="313" t="s">
        <v>263</v>
      </c>
      <c r="K355" s="89">
        <v>1</v>
      </c>
      <c r="L355" s="73" t="str">
        <f t="shared" si="75"/>
        <v/>
      </c>
      <c r="M355" s="73" t="str">
        <f>IF(N355="","",N355*L347)</f>
        <v/>
      </c>
      <c r="N355" s="202" t="str">
        <f>IF(L346="oui","",IF(AND(L344&gt;=30,L344&lt;=34,L345="oui",L348="non"),((L341-L342)*2),IF(AND(AND(L344&gt;=30,L344&lt;=32),L345="oui",L348="oui"),((L341-L343)*2),"")))</f>
        <v/>
      </c>
    </row>
    <row r="356" spans="3:14">
      <c r="C356" s="67" t="s">
        <v>264</v>
      </c>
      <c r="D356" s="60">
        <v>1</v>
      </c>
      <c r="E356" s="102" t="str">
        <f t="shared" si="72"/>
        <v/>
      </c>
      <c r="F356" s="76" t="str">
        <f t="shared" si="73"/>
        <v/>
      </c>
      <c r="G356" s="201" t="str">
        <f t="shared" ref="G356:G359" si="76">IF(H356="","",H356*$F$14)</f>
        <v/>
      </c>
      <c r="H356" s="82" t="str">
        <f>IF(F346="oui","",IF(AND(AND(F344&gt;=35,F344&lt;=39),F345="oui",F348="non"),H351-(F343*4),IF(AND(AND(F344&gt;=35,F344&lt;=39),F345="oui",F348="oui"),H352-(F343*4),"")))</f>
        <v/>
      </c>
      <c r="I356"/>
      <c r="J356" s="67" t="s">
        <v>264</v>
      </c>
      <c r="K356" s="60">
        <v>1</v>
      </c>
      <c r="L356" s="61" t="str">
        <f t="shared" si="75"/>
        <v/>
      </c>
      <c r="M356" s="61" t="str">
        <f>IF(N356="","",N356*L347)</f>
        <v/>
      </c>
      <c r="N356" s="68" t="str">
        <f>IF(L346="oui","",IF(AND(L344&gt;=35,L344&lt;=39,L345="oui",L348="non"),((L341-L342)*2),IF(AND(AND(L344&gt;=33,L344&lt;=37),L345="oui",L348="oui"),((L341-L343)*2),"")))</f>
        <v/>
      </c>
    </row>
    <row r="357" spans="3:14">
      <c r="C357" s="67" t="s">
        <v>265</v>
      </c>
      <c r="D357" s="60">
        <v>1</v>
      </c>
      <c r="E357" s="102" t="str">
        <f t="shared" si="72"/>
        <v/>
      </c>
      <c r="F357" s="76" t="str">
        <f t="shared" si="73"/>
        <v/>
      </c>
      <c r="G357" s="201" t="str">
        <f t="shared" si="76"/>
        <v/>
      </c>
      <c r="H357" s="82" t="str">
        <f>IF(F346="oui","",IF(AND(AND(F344&gt;=40,F344&lt;=44),F345="oui",F348="non"),H351-(F343*4),IF(AND(AND(F344&gt;=40,F344&lt;=44),F345="oui",F348="oui"),H352-(F343*4),"")))</f>
        <v/>
      </c>
      <c r="I357"/>
      <c r="J357" s="67" t="s">
        <v>265</v>
      </c>
      <c r="K357" s="60">
        <v>1</v>
      </c>
      <c r="L357" s="61" t="str">
        <f t="shared" si="75"/>
        <v/>
      </c>
      <c r="M357" s="61" t="str">
        <f>IF(N357="","",N357*L347)</f>
        <v/>
      </c>
      <c r="N357" s="68" t="str">
        <f>IF(L346="oui","",IF(AND(L344&gt;=40,L344&lt;=44,L345="oui",L348="non"),((L341-L342)*2),IF(AND(AND(L344&gt;=38,L344&lt;=42),L345="oui",L348="oui"),((L341-L343)*2),"")))</f>
        <v/>
      </c>
    </row>
    <row r="358" spans="3:14">
      <c r="C358" s="67" t="s">
        <v>266</v>
      </c>
      <c r="D358" s="60">
        <v>1</v>
      </c>
      <c r="E358" s="102" t="str">
        <f t="shared" si="72"/>
        <v/>
      </c>
      <c r="F358" s="76" t="str">
        <f t="shared" si="73"/>
        <v/>
      </c>
      <c r="G358" s="201" t="str">
        <f t="shared" si="76"/>
        <v/>
      </c>
      <c r="H358" s="82" t="str">
        <f>IF(F346="oui","",IF(AND(AND(F344&gt;=45,F344&lt;=49),F345="oui",F348="non"),H351-(F343*4),IF(AND(AND(F344&gt;=45,F344&lt;=49),F345="oui",F348="oui"),H352-(F343*4),"")))</f>
        <v/>
      </c>
      <c r="I358"/>
      <c r="J358" s="67" t="s">
        <v>266</v>
      </c>
      <c r="K358" s="60">
        <v>1</v>
      </c>
      <c r="L358" s="61" t="str">
        <f t="shared" si="75"/>
        <v/>
      </c>
      <c r="M358" s="61" t="str">
        <f>IF(N358="","",N358*L347)</f>
        <v/>
      </c>
      <c r="N358" s="68" t="str">
        <f>IF(L346="oui","",IF(AND(L344&gt;=45,L344&lt;=49,L345="oui",L348="non"),((L341-L342)*2),IF(AND(AND(L344&gt;=43,L344&lt;=47),L345="oui",L348="oui"),((L341-L343)*2),"")))</f>
        <v/>
      </c>
    </row>
    <row r="359" spans="3:14" ht="15" thickBot="1">
      <c r="C359" s="69" t="s">
        <v>267</v>
      </c>
      <c r="D359" s="70">
        <v>1</v>
      </c>
      <c r="E359" s="104" t="str">
        <f t="shared" si="72"/>
        <v/>
      </c>
      <c r="F359" s="83" t="str">
        <f t="shared" si="73"/>
        <v/>
      </c>
      <c r="G359" s="201" t="str">
        <f t="shared" si="76"/>
        <v/>
      </c>
      <c r="H359" s="85" t="str">
        <f>IF(F346="oui","",IF(AND(F344=50,F345="oui",F348="non"),H351-(F343*4),IF(AND(F344=50,F345="oui",F348="oui"),H352-(F343*4),"")))</f>
        <v/>
      </c>
      <c r="I359"/>
      <c r="J359" s="69" t="s">
        <v>267</v>
      </c>
      <c r="K359" s="70">
        <v>1</v>
      </c>
      <c r="L359" s="71" t="str">
        <f t="shared" si="75"/>
        <v/>
      </c>
      <c r="M359" s="71" t="str">
        <f>IF(N359="","",N359*L347)</f>
        <v/>
      </c>
      <c r="N359" s="72" t="str">
        <f>IF(L346="oui","",IF(AND(L344=50,L345="oui",L348="non"),((L341-L342)*2),IF(AND(AND(L344&gt;=48,L344&lt;=50),L345="oui",L348="oui"),((L341-L343)*2),"")))</f>
        <v/>
      </c>
    </row>
    <row r="360" spans="3:14">
      <c r="C360" s="63" t="s">
        <v>40</v>
      </c>
      <c r="D360" s="64">
        <v>1</v>
      </c>
      <c r="E360" s="103" t="str">
        <f t="shared" si="72"/>
        <v/>
      </c>
      <c r="F360" s="79" t="str">
        <f t="shared" si="73"/>
        <v/>
      </c>
      <c r="G360" s="80" t="str">
        <f>IF(H360="","",H360*$F$14)</f>
        <v/>
      </c>
      <c r="H360" s="81" t="str">
        <f>IF(F346="oui","",IF(AND(OR(F344=30,F344=31),F345="non",F348="non"),H351-(F343*4),IF(AND(OR(F344=30,F344=31),F345="non",F348="oui"),H352-(F343*4),"")))</f>
        <v/>
      </c>
      <c r="I360"/>
      <c r="J360" s="63" t="s">
        <v>40</v>
      </c>
      <c r="K360" s="64">
        <v>1</v>
      </c>
      <c r="L360" s="65" t="str">
        <f t="shared" si="75"/>
        <v/>
      </c>
      <c r="M360" s="65" t="str">
        <f>IF(N360="","",N360*L347)</f>
        <v/>
      </c>
      <c r="N360" s="66" t="str">
        <f>IF(AND(OR(L344=30,L344=31),L345="non",L348="non"),((L341-L342)*2),"")</f>
        <v/>
      </c>
    </row>
    <row r="361" spans="3:14">
      <c r="C361" s="67" t="s">
        <v>41</v>
      </c>
      <c r="D361" s="60">
        <v>1</v>
      </c>
      <c r="E361" s="102" t="str">
        <f t="shared" si="72"/>
        <v/>
      </c>
      <c r="F361" s="76" t="str">
        <f t="shared" si="73"/>
        <v/>
      </c>
      <c r="G361" s="75" t="str">
        <f t="shared" ref="G361:G364" si="77">IF(H361="","",H361*$F$14)</f>
        <v/>
      </c>
      <c r="H361" s="82" t="str">
        <f>IF(F346="oui","",IF(AND(AND(F344&gt;=32,F344&lt;=36),F345="non",F348="non"),H351-(F343*4),IF(AND(AND(F344&gt;=32,F344&lt;=36),F345="non",F348="oui"),H352-(F343*4),"")))</f>
        <v/>
      </c>
      <c r="I361"/>
      <c r="J361" s="67" t="s">
        <v>41</v>
      </c>
      <c r="K361" s="60">
        <v>1</v>
      </c>
      <c r="L361" s="61" t="str">
        <f t="shared" si="75"/>
        <v/>
      </c>
      <c r="M361" s="61" t="str">
        <f>IF(N361="","",N361*L347)</f>
        <v/>
      </c>
      <c r="N361" s="68" t="str">
        <f>IF(L346="oui","",IF(AND(L344&gt;=32,L344&lt;=36,L345="non",L348="non"),((L341-L342)*2),IF(AND(AND(L344&gt;=30,L344&lt;=34),L345="non",L348="oui"),((L341-L343)*2),"")))</f>
        <v/>
      </c>
    </row>
    <row r="362" spans="3:14">
      <c r="C362" s="67" t="s">
        <v>42</v>
      </c>
      <c r="D362" s="60">
        <v>1</v>
      </c>
      <c r="E362" s="102" t="str">
        <f t="shared" si="72"/>
        <v/>
      </c>
      <c r="F362" s="76" t="str">
        <f t="shared" si="73"/>
        <v/>
      </c>
      <c r="G362" s="75" t="str">
        <f t="shared" si="77"/>
        <v/>
      </c>
      <c r="H362" s="82" t="str">
        <f>IF(F346="oui","",IF(AND(AND(F344&gt;=37,F344&lt;=41),F345="non",F348="non"),H351-(F343*4),IF(AND(AND(F344&gt;=37,F344&lt;=41),F345="non",F348="oui"),H352-(F343*4),"")))</f>
        <v/>
      </c>
      <c r="I362"/>
      <c r="J362" s="67" t="s">
        <v>42</v>
      </c>
      <c r="K362" s="60">
        <v>1</v>
      </c>
      <c r="L362" s="61" t="str">
        <f t="shared" si="75"/>
        <v/>
      </c>
      <c r="M362" s="61" t="str">
        <f>IF(N362="","",N362*L347)</f>
        <v/>
      </c>
      <c r="N362" s="68" t="str">
        <f>IF(L346="oui","",IF(AND(L344&gt;=37,L344&lt;=41,L345="non",L348="non"),((L341-L342)*2),IF(AND(AND(L344&gt;=35,L344&lt;=39),L345="non",L348="oui"),((L341-L343)*2),"")))</f>
        <v/>
      </c>
    </row>
    <row r="363" spans="3:14">
      <c r="C363" s="67" t="s">
        <v>43</v>
      </c>
      <c r="D363" s="60">
        <v>1</v>
      </c>
      <c r="E363" s="102" t="str">
        <f t="shared" si="72"/>
        <v/>
      </c>
      <c r="F363" s="76" t="str">
        <f t="shared" si="73"/>
        <v/>
      </c>
      <c r="G363" s="75" t="str">
        <f t="shared" si="77"/>
        <v/>
      </c>
      <c r="H363" s="82" t="str">
        <f>IF(F346="oui","",IF(AND(AND(F344&gt;=42,F344&lt;=46),F345="non",F348="non"),H351-(F343*4),IF(AND(AND(F344&gt;=42,F344&lt;=46),F345="non",F348="oui"),H352-(F343*4),"")))</f>
        <v/>
      </c>
      <c r="I363"/>
      <c r="J363" s="67" t="s">
        <v>43</v>
      </c>
      <c r="K363" s="60">
        <v>1</v>
      </c>
      <c r="L363" s="61" t="str">
        <f t="shared" si="75"/>
        <v/>
      </c>
      <c r="M363" s="61" t="str">
        <f>IF(N363="","",N363*L347)</f>
        <v/>
      </c>
      <c r="N363" s="68" t="str">
        <f>IF(L346="oui","",IF(AND(L344&gt;=42,L344&lt;=46,L345="non",L348="non"),((L341-L342)*2),IF(AND(AND(L344&gt;=40,L344&lt;=44),L345="non",L348="oui"),((L341-L343)*2),"")))</f>
        <v/>
      </c>
    </row>
    <row r="364" spans="3:14" ht="15" thickBot="1">
      <c r="C364" s="69" t="s">
        <v>44</v>
      </c>
      <c r="D364" s="70">
        <v>1</v>
      </c>
      <c r="E364" s="104" t="str">
        <f t="shared" si="72"/>
        <v/>
      </c>
      <c r="F364" s="86" t="str">
        <f t="shared" si="73"/>
        <v/>
      </c>
      <c r="G364" s="84" t="str">
        <f t="shared" si="77"/>
        <v/>
      </c>
      <c r="H364" s="85" t="str">
        <f>IF(F346="oui","",IF(AND(AND(F344&gt;=47,F344&lt;=50),F345="non",F348="non"),H351-(F343*4),IF(AND(AND(F344&gt;=47,F344&lt;=50),F345="non",F348="oui"),H352-(F343*4),"")))</f>
        <v/>
      </c>
      <c r="I364"/>
      <c r="J364" s="69" t="s">
        <v>44</v>
      </c>
      <c r="K364" s="70">
        <v>1</v>
      </c>
      <c r="L364" s="71" t="str">
        <f t="shared" si="75"/>
        <v/>
      </c>
      <c r="M364" s="71" t="str">
        <f>IF(N364="","",N364*L347)</f>
        <v/>
      </c>
      <c r="N364" s="72" t="str">
        <f>IF(L346="oui","",IF(AND(L344&gt;=47,L344&lt;=50,L345="non",L348="non"),((L341-L342)*2),IF(AND(AND(L344&gt;=45,L344&lt;=50),L345="non",L348="oui"),((L341-L343)*2),"")))</f>
        <v/>
      </c>
    </row>
    <row r="365" spans="3:14">
      <c r="C365" s="63" t="s">
        <v>45</v>
      </c>
      <c r="D365" s="64">
        <v>1</v>
      </c>
      <c r="E365" s="103" t="str">
        <f t="shared" si="72"/>
        <v/>
      </c>
      <c r="F365" s="87" t="str">
        <f t="shared" si="73"/>
        <v/>
      </c>
      <c r="G365" s="80" t="str">
        <f>IF(H365="","",H365*$F$14)</f>
        <v/>
      </c>
      <c r="H365" s="88" t="str">
        <f>IF(AND(OR(F344=30,F344=31),H351&lt;&gt;"",H354&lt;&gt;""),H351-H354,IF(AND(OR(F344=30,F344=31),H352&lt;&gt;"",H354&lt;&gt;""),H352-H354,IF(AND(OR(F344=30,F344=31),F345="oui",F348="non"),H351-H355,IF(AND(OR(F344=30,F344=31),F345="non",F348="non"),H351-H360,IF(AND(OR(F344=30,F344=31),F345="oui",F348="oui"),H352-H355,IF(AND(OR(F344=30,F344=31),F345="non",F348="oui"),H352-H360,""))))))</f>
        <v/>
      </c>
      <c r="I365"/>
      <c r="J365" s="63" t="s">
        <v>45</v>
      </c>
      <c r="K365" s="64">
        <v>1</v>
      </c>
      <c r="L365" s="65" t="str">
        <f t="shared" si="75"/>
        <v/>
      </c>
      <c r="M365" s="65" t="str">
        <f>IF(N365="","",N365*L347)</f>
        <v/>
      </c>
      <c r="N365" s="66" t="str">
        <f>IF(AND(OR(L344=30,L344=31),L346="oui",L348="non"),N351-N354,IF(AND(OR(L344=30,L344=31),L345="oui",L348="oui"),N351-N355,IF(AND(OR(L344=30,L344=31),L345="non",L348="oui"),N351-N361,IF(AND(OR(L344=30,L344=31),L345="oui",L348="non"),N351-N355,IF(AND(OR(L344=30,L344=31),L345="non",L348="non"),N351-N360,"")))))</f>
        <v/>
      </c>
    </row>
    <row r="366" spans="3:14">
      <c r="C366" s="67" t="s">
        <v>46</v>
      </c>
      <c r="D366" s="60">
        <v>1</v>
      </c>
      <c r="E366" s="102" t="str">
        <f t="shared" si="72"/>
        <v/>
      </c>
      <c r="F366" s="76" t="str">
        <f t="shared" si="73"/>
        <v/>
      </c>
      <c r="G366" s="75" t="str">
        <f t="shared" ref="G366:G373" si="78">IF(H366="","",H366*$F$14)</f>
        <v/>
      </c>
      <c r="H366" s="82" t="str">
        <f>IF(AND(OR(F344=32,F344=33),H351&lt;&gt;"",H354&lt;&gt;""),H351-H354,IF(AND(OR(F344=32,F344=33),H352&lt;&gt;"",H354&lt;&gt;""),H352-H354,IF(AND(OR(F344=32,F344=33),F345="oui",F348="non"),H351-H355,IF(AND(OR(F344=32,F344=33),F345="non",F348="non"),H351-H361,IF(AND(OR(F344=32,F344=33),F345="oui",F348="oui"),H352-H355,IF(AND(OR(F344=32,F344=33),F345="non",F348="oui"),H352-H361,""))))))</f>
        <v/>
      </c>
      <c r="I366"/>
      <c r="J366" s="67" t="s">
        <v>46</v>
      </c>
      <c r="K366" s="60">
        <v>1</v>
      </c>
      <c r="L366" s="61" t="str">
        <f t="shared" si="75"/>
        <v/>
      </c>
      <c r="M366" s="61" t="str">
        <f>IF(N366="","",N366*L347)</f>
        <v/>
      </c>
      <c r="N366" s="68" t="str">
        <f>IF(AND(OR(L344=32,L344=33),L346="oui",L348="non"),N351-N354,IF(AND(L344=32,L345="oui",L348="oui"),N351-N355,IF(AND(L344=33,L345="oui",L348="oui"),N351-N356,IF(AND(OR(L344=32,L344=33),L345="non",L348="oui"),N351-N361,IF(AND(OR(L344=32,L344=33),L345="oui",L348="non"),N351-N355,IF(AND(OR(L344=32,L344=33),L345="non",L348="non"),N351-N361,""))))))</f>
        <v/>
      </c>
    </row>
    <row r="367" spans="3:14">
      <c r="C367" s="67" t="s">
        <v>47</v>
      </c>
      <c r="D367" s="60">
        <v>1</v>
      </c>
      <c r="E367" s="102">
        <f t="shared" si="72"/>
        <v>0</v>
      </c>
      <c r="F367" s="76">
        <f>IF(H367="","",ROUNDUP(H367+G367,0))</f>
        <v>0</v>
      </c>
      <c r="G367" s="75">
        <f t="shared" si="78"/>
        <v>0</v>
      </c>
      <c r="H367" s="82">
        <f>IF(AND(OR(F344=34,F344=35),H351&lt;&gt;"",H354&lt;&gt;""),H351-H354,IF(AND(OR(F344=34,F344=35),H352&lt;&gt;"",H354&lt;&gt;""),H352-H354,IF(AND(F344=34,F345="oui",F348="non"),H351-H355,IF(AND(F344=35,F345="oui",F348="non"),H351-H356,IF(AND(OR(F344=34,F344=35),F345="non",F348="non"),H351-H361,IF(AND(F344=34,F345="oui",F348="oui"),H352-H355,IF(AND(F344=35,F345="oui",F348="oui"),H352-H356,IF(AND(OR(F344=34,F344=35),F345="non",F348="oui"),H352-H361,""))))))))</f>
        <v>0</v>
      </c>
      <c r="I367"/>
      <c r="J367" s="67" t="s">
        <v>47</v>
      </c>
      <c r="K367" s="60">
        <v>1</v>
      </c>
      <c r="L367" s="61" t="str">
        <f t="shared" si="75"/>
        <v/>
      </c>
      <c r="M367" s="61" t="str">
        <f>IF(N367="","",N367*L347)</f>
        <v/>
      </c>
      <c r="N367" s="68" t="str">
        <f>IF(AND(OR(L344=34,L344=35),L346="oui",L348="non"),N351-N354,IF(AND(OR(L344=34,L344=35),L345="oui",L348="oui"),N351-N356,IF(AND(L344=34,L345="non",L348="oui"),N351-N361,IF(AND(L344=35,L345="non",L348="oui"),N351-N362,IF(AND(L344=34,L345="oui",L348="non"),N351-N355,IF(AND(L344=35,L345="oui",L348="non"),N351-N356,IF(AND(OR(L344=34,L344=35),L345="non",L348="non"),N351-N361,"")))))))</f>
        <v/>
      </c>
    </row>
    <row r="368" spans="3:14">
      <c r="C368" s="67" t="s">
        <v>48</v>
      </c>
      <c r="D368" s="60">
        <v>1</v>
      </c>
      <c r="E368" s="102" t="str">
        <f t="shared" si="72"/>
        <v/>
      </c>
      <c r="F368" s="76" t="str">
        <f t="shared" ref="F368:F373" si="79">IF(H368="","",ROUNDUP(H368+G368,0))</f>
        <v/>
      </c>
      <c r="G368" s="75" t="str">
        <f t="shared" si="78"/>
        <v/>
      </c>
      <c r="H368" s="82" t="str">
        <f>IF(AND(OR(F344=36,F344=37),H351&lt;&gt;"",H354&lt;&gt;""),H351-H354,IF(AND(OR(F344=36,F344=37),H352&lt;&gt;"",H354&lt;&gt;""),H352-H354,IF(AND(F344=36,F345="oui",F348="non"),H351-H356,IF(AND(F344=36,F345="non",F348="non"),H351-H361,IF(AND(F344=37,F345="oui",F348="non"),H351-H356,IF(AND(F344=37,F345="non",F348="non"),H351-H362,IF(AND(F344=36,F345="oui",F348="oui"),H352-H356,IF(AND(F344=36,F345="non",F348="oui"),H352-H361,IF(AND(F344=37,F345="oui",F348="oui"),H352-H356,IF(AND(F344=37,F345="non",F348="oui"),H352-H362,""))))))))))</f>
        <v/>
      </c>
      <c r="I368"/>
      <c r="J368" s="67" t="s">
        <v>48</v>
      </c>
      <c r="K368" s="60">
        <v>1</v>
      </c>
      <c r="L368" s="61" t="str">
        <f t="shared" si="75"/>
        <v/>
      </c>
      <c r="M368" s="61" t="str">
        <f>IF(N368="","",N368*L347)</f>
        <v/>
      </c>
      <c r="N368" s="68" t="str">
        <f>IF(AND(OR(L344=36,L344=37),L346="oui",L348="non"),N351-N354,IF(AND(OR(L344=36,L344=37),L345="oui",L348="oui"),N351-N356,IF(AND(OR(L344=36,L344=37),L345="non",L348="oui"),N351-N362,IF(AND(OR(L344=36,L344=37),L345="oui",L348="non"),N351-N356,IF(AND(L344=36,L345="non",L348="non"),N351-N361,IF(AND(L344=37,L345="non",L348="non"),N351-N362,""))))))</f>
        <v/>
      </c>
    </row>
    <row r="369" spans="3:14">
      <c r="C369" s="67" t="s">
        <v>49</v>
      </c>
      <c r="D369" s="60">
        <v>1</v>
      </c>
      <c r="E369" s="102" t="str">
        <f t="shared" si="72"/>
        <v/>
      </c>
      <c r="F369" s="76" t="str">
        <f t="shared" si="79"/>
        <v/>
      </c>
      <c r="G369" s="75" t="str">
        <f t="shared" si="78"/>
        <v/>
      </c>
      <c r="H369" s="82" t="str">
        <f>IF(AND(OR(F344=38,F344=39),H351&lt;&gt;"",H354&lt;&gt;""),H351-H354,IF(AND(OR(F344=36,F344=37),H352&lt;&gt;"",H354&lt;&gt;""),H352-H354,IF(AND(OR(F344=38,F344=39),F345="oui",F348="non"),H351-H356,IF(AND(OR(F344=38,F344=39),F345="non",F348="non"),H351-H362,IF(AND(OR(F344=38,F344=39),F345="oui",F348="oui"),H352-H356,IF(AND(OR(F344=38,F344=39),F345="non",F348="oui"),H352-H362,""))))))</f>
        <v/>
      </c>
      <c r="I369"/>
      <c r="J369" s="67" t="s">
        <v>49</v>
      </c>
      <c r="K369" s="60">
        <v>1</v>
      </c>
      <c r="L369" s="61" t="str">
        <f t="shared" si="75"/>
        <v/>
      </c>
      <c r="M369" s="61" t="str">
        <f>IF(N369="","",N369*L347)</f>
        <v/>
      </c>
      <c r="N369" s="68" t="str">
        <f>IF(AND(OR(L344=38,L344=39),L346="oui",L348="non"),N351-N354,IF(AND(OR(L344=38,L344=39),L345="oui",L348="oui"),N351-N357,IF(AND(OR(L344=38,L344=39),L345="non",L348="oui"),N351-N362,IF(AND(OR(L344=38,L344=39),L345="oui",L348="non"),N351-N356,IF(AND(OR(L344=38,L344=39),L345="non",L348="non"),N351-N362,"")))))</f>
        <v/>
      </c>
    </row>
    <row r="370" spans="3:14">
      <c r="C370" s="67" t="s">
        <v>50</v>
      </c>
      <c r="D370" s="60">
        <v>1</v>
      </c>
      <c r="E370" s="102" t="str">
        <f t="shared" si="72"/>
        <v/>
      </c>
      <c r="F370" s="76" t="str">
        <f t="shared" si="79"/>
        <v/>
      </c>
      <c r="G370" s="75" t="str">
        <f t="shared" si="78"/>
        <v/>
      </c>
      <c r="H370" s="82" t="str">
        <f>IF(AND(OR(F344=40,F344=41),H351&lt;&gt;"",H354&lt;&gt;""),H351-H354,IF(AND(OR(F344=40,F344=41),H352&lt;&gt;"",H354&lt;&gt;""),H352-H354,IF(AND(OR(F344=40,F344=41),F345="oui",F348="non"),H351-H357,IF(AND(OR(F344=40,F344=41),F345="non",F348="non"),H351-H362,IF(AND(OR(F344=40,F344=41),F345="oui",F348="oui"),H352-H357,IF(AND(OR(F344=40,F344=41),F345="non",F348="oui"),H352-H362,""))))))</f>
        <v/>
      </c>
      <c r="I370"/>
      <c r="J370" s="67" t="s">
        <v>50</v>
      </c>
      <c r="K370" s="60">
        <v>1</v>
      </c>
      <c r="L370" s="61" t="str">
        <f t="shared" si="75"/>
        <v/>
      </c>
      <c r="M370" s="61" t="str">
        <f>IF(N370="","",N370*L347)</f>
        <v/>
      </c>
      <c r="N370" s="68" t="str">
        <f>IF(AND(OR(L344=40,L344=41),L346="oui",L348="non"),N351-N354,IF(AND(OR(L344=40,L344=41),L345="oui",L348="oui"),N351-N357,IF(AND(OR(L344=40,L344=41),L345="non",L348="oui"),N351-N363,IF(AND(OR(L344=40,L344=41),L345="oui",L348="non"),N351-N357,IF(AND(OR(L344=40,L344=41),L345="non",L348="non"),N351-N362,"")))))</f>
        <v/>
      </c>
    </row>
    <row r="371" spans="3:14">
      <c r="C371" s="67" t="s">
        <v>51</v>
      </c>
      <c r="D371" s="60">
        <v>1</v>
      </c>
      <c r="E371" s="102" t="str">
        <f t="shared" si="72"/>
        <v/>
      </c>
      <c r="F371" s="76" t="str">
        <f t="shared" si="79"/>
        <v/>
      </c>
      <c r="G371" s="75" t="str">
        <f t="shared" si="78"/>
        <v/>
      </c>
      <c r="H371" s="82" t="str">
        <f>IF(AND(OR(F344=42,F344=43,F344=44),H351&lt;&gt;"",H354&lt;&gt;""),H351-H354,IF(AND(OR(F344=42,F344=43,F344=44),H352&lt;&gt;"",H354&lt;&gt;""),H352-H354,IF(AND(AND(F344&gt;=42,F344&lt;=44),F345="oui",F348="non"),H351-H357,IF(AND(AND(F344&gt;=42,F344&lt;=44),F345="non",F348="non"),H351-H363,IF(AND(AND(F344&gt;=42,F344&lt;=44),F345="oui",F348="oui"),H352-H357,IF(AND(AND(F344&gt;=42,F344&lt;=44),F345="non",F348="oui"),H352-H363,""))))))</f>
        <v/>
      </c>
      <c r="I371"/>
      <c r="J371" s="67" t="s">
        <v>51</v>
      </c>
      <c r="K371" s="60">
        <v>1</v>
      </c>
      <c r="L371" s="61" t="str">
        <f t="shared" si="75"/>
        <v/>
      </c>
      <c r="M371" s="61" t="str">
        <f>IF(N371="","",N371*L347)</f>
        <v/>
      </c>
      <c r="N371" s="68" t="str">
        <f>IF(AND(OR(L344=42,L344=43,L344=44),L346="oui",L348="non"),N351-N354,IF(AND(L344=42,L345="oui",L348="oui"),N351-N357,IF(AND(OR(L344=42,L344=43),L345="oui",L348="oui"),N351-N358,IF(AND(OR(L344=42,L344=43,L344=44),L345="non",L348="oui"),N351-N363,IF(AND(OR(L344=42,L344=43,L344=44),L345="oui",L348="non"),N351-N357,IF(AND(OR(L344=42,L344=43,L344=44),L345="non",L348="non"),N351-N363,""))))))</f>
        <v/>
      </c>
    </row>
    <row r="372" spans="3:14">
      <c r="C372" s="67" t="s">
        <v>52</v>
      </c>
      <c r="D372" s="60">
        <v>1</v>
      </c>
      <c r="E372" s="105" t="str">
        <f t="shared" si="72"/>
        <v/>
      </c>
      <c r="F372" s="83" t="str">
        <f t="shared" si="79"/>
        <v/>
      </c>
      <c r="G372" s="75" t="str">
        <f t="shared" si="78"/>
        <v/>
      </c>
      <c r="H372" s="82" t="str">
        <f>IF(AND(OR(F344=45,F344=46,F344=47,F344=48,F344=49),H351&lt;&gt;"",H354&lt;&gt;""),H351-H354,IF(AND(OR(F344=45,F344=46,F344=47,F344=48,F344=49),H352&lt;&gt;"",H354&lt;&gt;""),H352-H354,IF(AND(OR(F344=45,F344=46),F345="oui",F348="non"),H351-H358,IF(AND(OR(F344=45,F344=46),F345="non",F348="non"),H351-H363,IF(AND(AND(F344&gt;=47,F344&lt;=49),F345="oui",F348="non"),H351-H358,IF(AND(AND(F344&gt;=47,F344&lt;=49),F345="non",F348="non"),H351-H364,IF(AND(OR(F344=45,F344=46),F345="oui",F348="oui"),H352-H358,IF(AND(OR(F344=45,F344=46),F345="non",F348="oui"),H352-H363,IF(AND(AND(F344&gt;=47,F344&lt;=49),F345="oui",F348="oui"),H352-H358,IF(AND(AND(F344&gt;=47,F344&lt;=49),F345="non",F348="oui"),H352-H364,""))))))))))</f>
        <v/>
      </c>
      <c r="I372"/>
      <c r="J372" s="67" t="s">
        <v>52</v>
      </c>
      <c r="K372" s="60">
        <v>1</v>
      </c>
      <c r="L372" s="61" t="str">
        <f t="shared" si="75"/>
        <v/>
      </c>
      <c r="M372" s="61" t="str">
        <f>IF(N372="","",N372*L347)</f>
        <v/>
      </c>
      <c r="N372" s="68" t="str">
        <f>IF(AND(AND(L344&gt;=45,L344&lt;=49),L346="oui",L348="non"),N351-N354,IF(AND(OR(L344=45,L344=46,L344=47),L345="oui",L348="oui"),N351-N358,IF(AND(OR(L344=48,L344=49),L345="oui",L348="oui"),N351-N359,IF(AND(AND(L344&gt;=45,L344&lt;=49),L345="non",L348="oui"),N351-N364,IF(AND(AND(L344&gt;=45,L344&lt;=49),L345="oui",L348="non"),N351-N358,IF(AND(OR(L344=45,L344=46),L345="non",L348="non"),N351-N363,IF(AND(AND(L344&gt;=47,L344&lt;=49),L345="non",L348="non"),N351-N364,"")))))))</f>
        <v/>
      </c>
    </row>
    <row r="373" spans="3:14" ht="15" thickBot="1">
      <c r="C373" s="69" t="s">
        <v>53</v>
      </c>
      <c r="D373" s="70">
        <v>1</v>
      </c>
      <c r="E373" s="104" t="str">
        <f t="shared" si="72"/>
        <v/>
      </c>
      <c r="F373" s="86" t="str">
        <f t="shared" si="79"/>
        <v/>
      </c>
      <c r="G373" s="84" t="str">
        <f t="shared" si="78"/>
        <v/>
      </c>
      <c r="H373" s="85" t="str">
        <f>IF(AND(F344=50,H351&lt;&gt;"",H354&lt;&gt;""),H351-H354,IF(AND(F344=50,H352&lt;&gt;"",H354&lt;&gt;""),H352-H354,IF(AND(F344=50,F345="oui",F348="non"),H351-H359,IF(AND(F344=50,F345="non",F348="non"),H351-H364,IF(AND(F344=50,F345="oui",F348="oui"),H352-H359,IF(AND(F344=50,F345="non",F348="oui"),H352-H364,""))))))</f>
        <v/>
      </c>
      <c r="I373"/>
      <c r="J373" s="69" t="s">
        <v>53</v>
      </c>
      <c r="K373" s="70">
        <v>1</v>
      </c>
      <c r="L373" s="71" t="str">
        <f t="shared" si="75"/>
        <v/>
      </c>
      <c r="M373" s="71" t="str">
        <f>IF(N373="","",N373*L347)</f>
        <v/>
      </c>
      <c r="N373" s="236" t="str">
        <f>IF(AND(L344=50,L346="oui",L348="non"),N351-N354,IF(AND(L344=50,L345="oui",L348="oui"),N351-N359,IF(AND(L344=50,L345="non",L348="oui"),N351-N364,IF(AND(L344=50,L345="oui",L348="non"),N351-N359,IF(AND(L344=50,L345="non",L348="non"),N351-N364,"")))))</f>
        <v/>
      </c>
    </row>
    <row r="374" spans="3:14" ht="15" thickBot="1">
      <c r="C374" s="205" t="s">
        <v>105</v>
      </c>
      <c r="D374" s="206">
        <v>1</v>
      </c>
      <c r="E374" s="207">
        <f t="shared" si="72"/>
        <v>0</v>
      </c>
      <c r="F374" s="197">
        <f>IF(H374="","",ROUNDUP(H374+G374,0))</f>
        <v>0</v>
      </c>
      <c r="G374" s="197">
        <f>IF(H374="","",H374*$F$14)</f>
        <v>0</v>
      </c>
      <c r="H374" s="197">
        <f>IF(F343="","",(IF(OR(F344=30,F344=31),F365/2, IF(OR(F344=32,F344=33),F366/2,IF(OR(F344=34,F344=35),F367/2,IF(OR(F344=36,F344=37),F368/2,IF(OR(F344=38,F344=39),F369/2,IF(OR(F344=40,F344=41),F370/2,IF(OR(F344=42,F344=43,F344=44),F371/2,IF(OR(F344=45,F344=46,F344=47,F344=48,F344=49),F372/2,IF(F344=50,F373/2)))))))))))</f>
        <v>0</v>
      </c>
      <c r="J374" s="205" t="s">
        <v>105</v>
      </c>
      <c r="K374" s="206">
        <v>1</v>
      </c>
      <c r="L374" s="197" t="str">
        <f>IF(N374="","",ROUNDUP(N374+M374,0))</f>
        <v/>
      </c>
      <c r="M374" s="197" t="str">
        <f>IF(N374="","",N374*$F$14)</f>
        <v/>
      </c>
      <c r="N374" s="197" t="str">
        <f>IF(L343="","",(IF(L348="oui",L341,(IF(OR(L344=30,L344=31),L365/2, IF(OR(L344=32,L344=33),L366/2,IF(OR(L344=34,L344=35),L367/2,IF(OR(L344=36,L344=37),L368/2,IF(OR(L344=38,L344=39),L369/2,IF(OR(L344=40,L344=41),L370/2,IF(OR(L344=42,L344=43,L344=44),L371/2,IF(OR(L344=45,L344=46,L344=47,L344=48,L344=49),L372/2,IF(L344=50,L373/2)))))))))))))</f>
        <v/>
      </c>
    </row>
  </sheetData>
  <protectedRanges>
    <protectedRange algorithmName="SHA-512" hashValue="R9mbo1ohIleuOIrQr9oGMFh7joIZLVVRQ2c/m2avQ8/OQeZrmZE1HemOGqXm+orrswg6dQL7PHkzck28VJTwLw==" saltValue="rFR6p+CYPAh5/u+86XeXWw==" spinCount="100000" sqref="J7:K12 J44:K49 J81:K86 J118:K123 J155:K160 J192:K197 J229:K234 J266:K271 J303:K308 J340:K345" name="Plage2_4"/>
    <protectedRange algorithmName="SHA-512" hashValue="L3yXm/+zYPtFme7ETMer3IkE6jLIMsnT9GDvUt7NSbpPnOmMTEiEzv2URiRJ92gtFWy6ANF6LjGM53H3merqlw==" saltValue="eHpjqz7zJp0CWD0VS4cOHQ==" spinCount="100000" sqref="L17:N17 K23 N23 J42:K42 N42 N18:N21 J17:K20 L54:N54 K60 N60 N55:N58 J54:K57 L91:N91 K97 N97 N92:N95 J91:K94 L128:N128 K134 N134 N129:N132 J128:K131 L165:N165 K171 N171 N166:N169 J165:K168 L202:N202 K208 N208 N203:N206 J202:K205 L239:N239 K245 N245 N240:N243 J239:K242 L276:N276 K282 N282 N277:N280 J276:K279 L313:N313 K319 N319 N314:N317 J313:K316 L350:N350 K356 N356 N351:N354 J350:K353" name="Plage1_4"/>
  </protectedRanges>
  <mergeCells count="213">
    <mergeCell ref="C191:F191"/>
    <mergeCell ref="J191:L191"/>
    <mergeCell ref="C192:D192"/>
    <mergeCell ref="J192:K192"/>
    <mergeCell ref="J155:K155"/>
    <mergeCell ref="C158:D158"/>
    <mergeCell ref="J158:K158"/>
    <mergeCell ref="C159:D159"/>
    <mergeCell ref="J159:K159"/>
    <mergeCell ref="C160:D160"/>
    <mergeCell ref="J160:K160"/>
    <mergeCell ref="C162:D162"/>
    <mergeCell ref="J162:K162"/>
    <mergeCell ref="C163:D163"/>
    <mergeCell ref="J163:K163"/>
    <mergeCell ref="J164:K164"/>
    <mergeCell ref="C161:D161"/>
    <mergeCell ref="J161:K161"/>
    <mergeCell ref="C303:D303"/>
    <mergeCell ref="J303:K303"/>
    <mergeCell ref="C304:D304"/>
    <mergeCell ref="J304:K304"/>
    <mergeCell ref="C305:D305"/>
    <mergeCell ref="C229:D229"/>
    <mergeCell ref="J229:K229"/>
    <mergeCell ref="C230:D230"/>
    <mergeCell ref="J230:K230"/>
    <mergeCell ref="C231:D231"/>
    <mergeCell ref="J231:K231"/>
    <mergeCell ref="C232:D232"/>
    <mergeCell ref="J232:K232"/>
    <mergeCell ref="C234:D234"/>
    <mergeCell ref="J234:K234"/>
    <mergeCell ref="C235:D235"/>
    <mergeCell ref="J235:K235"/>
    <mergeCell ref="C236:D236"/>
    <mergeCell ref="J236:K236"/>
    <mergeCell ref="C237:D237"/>
    <mergeCell ref="J237:K237"/>
    <mergeCell ref="J238:K238"/>
    <mergeCell ref="C265:F265"/>
    <mergeCell ref="J265:L265"/>
    <mergeCell ref="C121:D121"/>
    <mergeCell ref="J121:K121"/>
    <mergeCell ref="C122:D122"/>
    <mergeCell ref="J122:K122"/>
    <mergeCell ref="C123:D123"/>
    <mergeCell ref="J123:K123"/>
    <mergeCell ref="C124:D124"/>
    <mergeCell ref="J124:K124"/>
    <mergeCell ref="C125:D125"/>
    <mergeCell ref="J125:K125"/>
    <mergeCell ref="C126:D126"/>
    <mergeCell ref="J126:K126"/>
    <mergeCell ref="J127:K127"/>
    <mergeCell ref="C154:F154"/>
    <mergeCell ref="J154:L154"/>
    <mergeCell ref="C156:D156"/>
    <mergeCell ref="J156:K156"/>
    <mergeCell ref="C157:D157"/>
    <mergeCell ref="J157:K157"/>
    <mergeCell ref="C155:D155"/>
    <mergeCell ref="C83:D83"/>
    <mergeCell ref="J83:K83"/>
    <mergeCell ref="J84:K84"/>
    <mergeCell ref="C81:D81"/>
    <mergeCell ref="J81:K81"/>
    <mergeCell ref="C82:D82"/>
    <mergeCell ref="J82:K82"/>
    <mergeCell ref="C86:D86"/>
    <mergeCell ref="J86:K86"/>
    <mergeCell ref="C85:D85"/>
    <mergeCell ref="C87:D87"/>
    <mergeCell ref="J87:K87"/>
    <mergeCell ref="C88:D88"/>
    <mergeCell ref="J88:K88"/>
    <mergeCell ref="C89:D89"/>
    <mergeCell ref="J89:K89"/>
    <mergeCell ref="J90:K90"/>
    <mergeCell ref="J120:K120"/>
    <mergeCell ref="C84:D84"/>
    <mergeCell ref="J85:K85"/>
    <mergeCell ref="J118:K118"/>
    <mergeCell ref="C118:D118"/>
    <mergeCell ref="C119:D119"/>
    <mergeCell ref="J119:K119"/>
    <mergeCell ref="C120:D120"/>
    <mergeCell ref="C117:F117"/>
    <mergeCell ref="J117:L117"/>
    <mergeCell ref="C80:F80"/>
    <mergeCell ref="J80:L80"/>
    <mergeCell ref="C51:D51"/>
    <mergeCell ref="J51:K51"/>
    <mergeCell ref="C52:D52"/>
    <mergeCell ref="J52:K52"/>
    <mergeCell ref="J53:K53"/>
    <mergeCell ref="C48:D48"/>
    <mergeCell ref="J48:K48"/>
    <mergeCell ref="C49:D49"/>
    <mergeCell ref="J49:K49"/>
    <mergeCell ref="J50:K50"/>
    <mergeCell ref="C50:D50"/>
    <mergeCell ref="C47:D47"/>
    <mergeCell ref="J47:K47"/>
    <mergeCell ref="C13:D13"/>
    <mergeCell ref="J13:K13"/>
    <mergeCell ref="C14:D14"/>
    <mergeCell ref="J14:K14"/>
    <mergeCell ref="J44:K44"/>
    <mergeCell ref="C44:D44"/>
    <mergeCell ref="J43:L43"/>
    <mergeCell ref="C3:F4"/>
    <mergeCell ref="J3:L4"/>
    <mergeCell ref="C7:D7"/>
    <mergeCell ref="J7:K7"/>
    <mergeCell ref="C8:D8"/>
    <mergeCell ref="J8:K8"/>
    <mergeCell ref="C45:D45"/>
    <mergeCell ref="J45:K45"/>
    <mergeCell ref="C46:D46"/>
    <mergeCell ref="J46:K46"/>
    <mergeCell ref="C6:F6"/>
    <mergeCell ref="J6:L6"/>
    <mergeCell ref="C11:D11"/>
    <mergeCell ref="J11:K11"/>
    <mergeCell ref="C12:D12"/>
    <mergeCell ref="J12:K12"/>
    <mergeCell ref="C9:D9"/>
    <mergeCell ref="J9:K9"/>
    <mergeCell ref="C10:D10"/>
    <mergeCell ref="J10:K10"/>
    <mergeCell ref="C15:D15"/>
    <mergeCell ref="J15:K15"/>
    <mergeCell ref="J16:K16"/>
    <mergeCell ref="C43:F43"/>
    <mergeCell ref="C233:D233"/>
    <mergeCell ref="J233:K233"/>
    <mergeCell ref="C199:D199"/>
    <mergeCell ref="J199:K199"/>
    <mergeCell ref="C200:D200"/>
    <mergeCell ref="J200:K200"/>
    <mergeCell ref="J201:K201"/>
    <mergeCell ref="C228:F228"/>
    <mergeCell ref="J228:L228"/>
    <mergeCell ref="C198:D198"/>
    <mergeCell ref="J198:K198"/>
    <mergeCell ref="C197:D197"/>
    <mergeCell ref="J197:K197"/>
    <mergeCell ref="C193:D193"/>
    <mergeCell ref="J193:K193"/>
    <mergeCell ref="C194:D194"/>
    <mergeCell ref="J194:K194"/>
    <mergeCell ref="C195:D195"/>
    <mergeCell ref="J195:K195"/>
    <mergeCell ref="C196:D196"/>
    <mergeCell ref="J196:K196"/>
    <mergeCell ref="C267:D267"/>
    <mergeCell ref="J267:K267"/>
    <mergeCell ref="C268:D268"/>
    <mergeCell ref="J268:K268"/>
    <mergeCell ref="C269:D269"/>
    <mergeCell ref="J269:K269"/>
    <mergeCell ref="C270:D270"/>
    <mergeCell ref="J270:K270"/>
    <mergeCell ref="C266:D266"/>
    <mergeCell ref="J266:K266"/>
    <mergeCell ref="C271:D271"/>
    <mergeCell ref="J271:K271"/>
    <mergeCell ref="C272:D272"/>
    <mergeCell ref="J272:K272"/>
    <mergeCell ref="C273:D273"/>
    <mergeCell ref="J273:K273"/>
    <mergeCell ref="C274:D274"/>
    <mergeCell ref="J274:K274"/>
    <mergeCell ref="C302:F302"/>
    <mergeCell ref="J302:L302"/>
    <mergeCell ref="J308:K308"/>
    <mergeCell ref="C309:D309"/>
    <mergeCell ref="J309:K309"/>
    <mergeCell ref="C310:D310"/>
    <mergeCell ref="J310:K310"/>
    <mergeCell ref="C311:D311"/>
    <mergeCell ref="J311:K311"/>
    <mergeCell ref="J305:K305"/>
    <mergeCell ref="C306:D306"/>
    <mergeCell ref="J306:K306"/>
    <mergeCell ref="C308:D308"/>
    <mergeCell ref="C307:D307"/>
    <mergeCell ref="J307:K307"/>
    <mergeCell ref="C1:L1"/>
    <mergeCell ref="C348:D348"/>
    <mergeCell ref="J348:K348"/>
    <mergeCell ref="J349:K349"/>
    <mergeCell ref="C343:D343"/>
    <mergeCell ref="J343:K343"/>
    <mergeCell ref="C344:D344"/>
    <mergeCell ref="J344:K344"/>
    <mergeCell ref="C345:D345"/>
    <mergeCell ref="J345:K345"/>
    <mergeCell ref="C346:D346"/>
    <mergeCell ref="J346:K346"/>
    <mergeCell ref="C347:D347"/>
    <mergeCell ref="J347:K347"/>
    <mergeCell ref="J312:K312"/>
    <mergeCell ref="C339:F339"/>
    <mergeCell ref="J339:L339"/>
    <mergeCell ref="C340:D340"/>
    <mergeCell ref="J340:K340"/>
    <mergeCell ref="C341:D341"/>
    <mergeCell ref="J341:K341"/>
    <mergeCell ref="C342:D342"/>
    <mergeCell ref="J342:K342"/>
    <mergeCell ref="J275:K275"/>
  </mergeCells>
  <dataValidations count="4">
    <dataValidation type="list" allowBlank="1" showInputMessage="1" showErrorMessage="1" sqref="F12:F13 F271:F272 F160:F161 F123:F124 F86:F87 L234:L235 F49:F50 F234:F235 F308:F309 F197:F198 L345:L346 L197:L198 L160:L161 L123:L124 L86:L87 L49:L50 L308:L309 L12:L13 L271:L272 F345:F346" xr:uid="{F63F20BC-1ABE-4A7A-86F6-3395DB81112A}">
      <formula1>$A$3:$A$6</formula1>
    </dataValidation>
    <dataValidation type="list" showInputMessage="1" showErrorMessage="1" sqref="F15 F274 F311 F200 F89 F163 L15 F126 F52 F237 L348 L274 L237 L200 L163 L126 L89 L52 L311 F348" xr:uid="{F8A1CD57-4EEC-42DF-B241-FAA489C0E277}">
      <formula1>$A$3:$A$6</formula1>
    </dataValidation>
    <dataValidation type="list" allowBlank="1" showInputMessage="1" showErrorMessage="1" sqref="F270 F159 F122 F85 L270 F11 F233 F48 F307 F196 L233 L344 L196 L159 L122 L85 L48 L307 L11 F344" xr:uid="{DE2E3AF5-11FD-4683-9DAD-20997674592E}">
      <formula1>$A$7:$A$30</formula1>
    </dataValidation>
    <dataValidation type="list" allowBlank="1" showInputMessage="1" showErrorMessage="1" sqref="F14 F273 F199 F51 F236 F310 L236 F88 F125 F162 L347 L273 L14 L310 L51 L88 L125 L162 L199 F347" xr:uid="{0320DA98-028B-42E8-AC87-3E469CA7EE1D}">
      <formula1>$A$31:$A$39</formula1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DropDown="1" showInputMessage="1" showErrorMessage="1" xr:uid="{004E848F-3BB5-41CF-8532-BACFCD9FFD46}">
          <x14:formula1>
            <xm:f>'C:\Users\Besnarj\Desktop\Jérémy\Projet Visuel Client\[Fichier Calcul Devis JI Energy.xlsx]systeme'!#REF!</xm:f>
          </x14:formula1>
          <xm:sqref>G237 G163 G15 G89 G274 G311 G52 G200 G126 G348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3"/>
  <dimension ref="A1:U108"/>
  <sheetViews>
    <sheetView topLeftCell="A43" workbookViewId="0">
      <selection activeCell="B50" sqref="B50"/>
    </sheetView>
  </sheetViews>
  <sheetFormatPr baseColWidth="10" defaultRowHeight="14.4"/>
  <cols>
    <col min="1" max="1" width="12.21875" customWidth="1"/>
    <col min="2" max="2" width="43" customWidth="1"/>
    <col min="3" max="3" width="4.21875" customWidth="1"/>
    <col min="4" max="4" width="37.5546875" customWidth="1"/>
    <col min="5" max="5" width="8.21875" customWidth="1"/>
    <col min="6" max="6" width="12.77734375" style="18" customWidth="1"/>
    <col min="7" max="8" width="11.77734375" customWidth="1"/>
    <col min="9" max="9" width="42" customWidth="1"/>
    <col min="10" max="10" width="47.44140625" style="18" bestFit="1" customWidth="1"/>
    <col min="11" max="11" width="11.44140625" style="18"/>
    <col min="12" max="12" width="9.21875" style="18" customWidth="1"/>
    <col min="13" max="13" width="8" style="18" customWidth="1"/>
    <col min="14" max="14" width="11.77734375" style="18" customWidth="1"/>
    <col min="15" max="15" width="11.44140625" style="18" customWidth="1"/>
    <col min="16" max="16" width="47.44140625" bestFit="1" customWidth="1"/>
    <col min="19" max="19" width="8" style="18" customWidth="1"/>
    <col min="20" max="20" width="14.44140625" style="18" customWidth="1"/>
  </cols>
  <sheetData>
    <row r="1" spans="1:20" ht="15" thickBot="1"/>
    <row r="2" spans="1:20" ht="15" customHeight="1">
      <c r="A2" s="222" t="s">
        <v>55</v>
      </c>
      <c r="B2" s="222" t="s">
        <v>56</v>
      </c>
      <c r="J2" s="342" t="s">
        <v>208</v>
      </c>
      <c r="K2" s="343"/>
      <c r="L2" s="344"/>
      <c r="P2" s="342" t="s">
        <v>209</v>
      </c>
      <c r="Q2" s="343"/>
      <c r="R2" s="344"/>
    </row>
    <row r="3" spans="1:20" ht="15.75" customHeight="1" thickBot="1">
      <c r="A3" s="49">
        <v>4004059</v>
      </c>
      <c r="B3" s="49" t="s">
        <v>147</v>
      </c>
      <c r="J3" s="345"/>
      <c r="K3" s="346"/>
      <c r="L3" s="347"/>
      <c r="P3" s="345"/>
      <c r="Q3" s="346"/>
      <c r="R3" s="347"/>
    </row>
    <row r="4" spans="1:20">
      <c r="A4" s="49">
        <v>4005486</v>
      </c>
      <c r="B4" s="49" t="s">
        <v>148</v>
      </c>
      <c r="J4" s="50" t="s">
        <v>137</v>
      </c>
      <c r="P4" s="51" t="s">
        <v>138</v>
      </c>
    </row>
    <row r="5" spans="1:20" hidden="1">
      <c r="A5" s="223">
        <v>10720</v>
      </c>
      <c r="B5" s="223" t="s">
        <v>254</v>
      </c>
      <c r="J5" s="50"/>
      <c r="P5" s="51"/>
    </row>
    <row r="6" spans="1:20" hidden="1">
      <c r="A6" s="223">
        <v>4006990</v>
      </c>
      <c r="B6" s="223" t="s">
        <v>57</v>
      </c>
    </row>
    <row r="7" spans="1:20" hidden="1">
      <c r="A7" s="223">
        <v>11701</v>
      </c>
      <c r="B7" s="223" t="s">
        <v>251</v>
      </c>
      <c r="D7" s="341" t="s">
        <v>15</v>
      </c>
      <c r="E7" s="341"/>
      <c r="F7" s="13" t="s">
        <v>25</v>
      </c>
      <c r="G7" s="40"/>
      <c r="H7" s="39"/>
      <c r="J7" s="341" t="s">
        <v>15</v>
      </c>
      <c r="K7" s="341"/>
      <c r="L7" s="13" t="s">
        <v>25</v>
      </c>
      <c r="M7" s="39"/>
      <c r="N7"/>
      <c r="P7" s="341" t="s">
        <v>128</v>
      </c>
      <c r="Q7" s="341"/>
      <c r="R7" s="177" t="s">
        <v>25</v>
      </c>
      <c r="S7" s="39"/>
      <c r="T7"/>
    </row>
    <row r="8" spans="1:20" hidden="1">
      <c r="A8" s="223">
        <v>4001967</v>
      </c>
      <c r="B8" s="223" t="s">
        <v>58</v>
      </c>
      <c r="D8" s="336" t="s">
        <v>26</v>
      </c>
      <c r="E8" s="336"/>
      <c r="F8" s="14"/>
      <c r="G8" s="180"/>
      <c r="J8" s="336" t="s">
        <v>26</v>
      </c>
      <c r="K8" s="336"/>
      <c r="L8" s="14"/>
      <c r="M8"/>
      <c r="N8"/>
      <c r="P8" s="336" t="s">
        <v>26</v>
      </c>
      <c r="Q8" s="336"/>
      <c r="R8" s="42"/>
      <c r="S8"/>
      <c r="T8"/>
    </row>
    <row r="9" spans="1:20" ht="14.25" hidden="1" customHeight="1">
      <c r="A9" s="223">
        <v>4004061</v>
      </c>
      <c r="B9" s="223" t="s">
        <v>59</v>
      </c>
      <c r="D9" s="336" t="s">
        <v>27</v>
      </c>
      <c r="E9" s="336"/>
      <c r="F9" s="14"/>
      <c r="G9" s="180"/>
      <c r="J9" s="336" t="s">
        <v>27</v>
      </c>
      <c r="K9" s="336"/>
      <c r="L9" s="14"/>
      <c r="M9"/>
      <c r="N9"/>
      <c r="P9" s="336" t="s">
        <v>27</v>
      </c>
      <c r="Q9" s="336"/>
      <c r="R9" s="42"/>
      <c r="S9"/>
      <c r="T9"/>
    </row>
    <row r="10" spans="1:20" hidden="1">
      <c r="A10" s="223">
        <v>4004060</v>
      </c>
      <c r="B10" s="223" t="s">
        <v>60</v>
      </c>
      <c r="D10" s="336" t="s">
        <v>28</v>
      </c>
      <c r="E10" s="336"/>
      <c r="F10" s="14"/>
      <c r="G10" s="180"/>
      <c r="J10" s="336" t="s">
        <v>28</v>
      </c>
      <c r="K10" s="336"/>
      <c r="L10" s="14"/>
      <c r="M10"/>
      <c r="N10"/>
      <c r="P10" s="336" t="s">
        <v>28</v>
      </c>
      <c r="Q10" s="336"/>
      <c r="R10" s="42"/>
      <c r="S10"/>
      <c r="T10"/>
    </row>
    <row r="11" spans="1:20" hidden="1">
      <c r="A11" s="315">
        <v>4007991</v>
      </c>
      <c r="B11" s="315" t="s">
        <v>61</v>
      </c>
      <c r="D11" s="336" t="s">
        <v>29</v>
      </c>
      <c r="E11" s="336"/>
      <c r="F11" s="14"/>
      <c r="G11" s="180"/>
      <c r="J11" s="336" t="s">
        <v>29</v>
      </c>
      <c r="K11" s="336"/>
      <c r="L11" s="14"/>
      <c r="M11"/>
      <c r="N11"/>
      <c r="P11" s="336" t="s">
        <v>136</v>
      </c>
      <c r="Q11" s="336"/>
      <c r="R11" s="42"/>
      <c r="S11"/>
      <c r="T11"/>
    </row>
    <row r="12" spans="1:20" hidden="1">
      <c r="A12" s="223">
        <v>4004577</v>
      </c>
      <c r="B12" s="223" t="s">
        <v>62</v>
      </c>
      <c r="D12" s="336" t="s">
        <v>30</v>
      </c>
      <c r="E12" s="336"/>
      <c r="F12" s="14"/>
      <c r="G12" s="180"/>
      <c r="J12" s="336" t="s">
        <v>30</v>
      </c>
      <c r="K12" s="336"/>
      <c r="L12" s="14"/>
      <c r="M12"/>
      <c r="N12"/>
      <c r="P12" s="336" t="s">
        <v>30</v>
      </c>
      <c r="Q12" s="336"/>
      <c r="R12" s="42"/>
      <c r="S12"/>
      <c r="T12"/>
    </row>
    <row r="13" spans="1:20" hidden="1">
      <c r="A13" s="223">
        <v>4005971</v>
      </c>
      <c r="B13" s="223" t="s">
        <v>63</v>
      </c>
      <c r="D13" s="336" t="s">
        <v>31</v>
      </c>
      <c r="E13" s="336"/>
      <c r="F13" s="15"/>
      <c r="J13" s="336" t="s">
        <v>146</v>
      </c>
      <c r="K13" s="336"/>
      <c r="L13" s="15"/>
      <c r="M13"/>
      <c r="N13"/>
      <c r="P13" s="336" t="s">
        <v>135</v>
      </c>
      <c r="Q13" s="336"/>
      <c r="R13" s="43"/>
      <c r="S13"/>
      <c r="T13"/>
    </row>
    <row r="14" spans="1:20" hidden="1">
      <c r="A14" s="223">
        <v>4004196</v>
      </c>
      <c r="B14" s="223" t="s">
        <v>64</v>
      </c>
      <c r="D14" s="336" t="s">
        <v>32</v>
      </c>
      <c r="E14" s="336"/>
      <c r="F14" s="17" t="s">
        <v>65</v>
      </c>
      <c r="H14" s="39"/>
      <c r="J14" s="336" t="s">
        <v>32</v>
      </c>
      <c r="K14" s="336"/>
      <c r="L14" s="227" t="s">
        <v>33</v>
      </c>
      <c r="M14" s="39"/>
      <c r="N14"/>
      <c r="P14" s="336" t="s">
        <v>32</v>
      </c>
      <c r="Q14" s="336"/>
      <c r="R14" s="215" t="s">
        <v>33</v>
      </c>
      <c r="S14" s="39"/>
      <c r="T14"/>
    </row>
    <row r="15" spans="1:20" hidden="1">
      <c r="A15" s="223">
        <v>4004197</v>
      </c>
      <c r="B15" s="223" t="s">
        <v>66</v>
      </c>
      <c r="J15"/>
      <c r="K15"/>
      <c r="M15"/>
      <c r="N15"/>
      <c r="P15" s="335"/>
      <c r="Q15" s="335"/>
      <c r="R15" s="41"/>
      <c r="S15"/>
      <c r="T15"/>
    </row>
    <row r="16" spans="1:20">
      <c r="A16" s="223">
        <v>4004238</v>
      </c>
      <c r="B16" s="223" t="s">
        <v>67</v>
      </c>
      <c r="D16" s="189" t="s">
        <v>34</v>
      </c>
      <c r="E16" s="189" t="s">
        <v>35</v>
      </c>
      <c r="F16" s="189" t="s">
        <v>25</v>
      </c>
      <c r="G16" s="40"/>
      <c r="H16" s="40" t="s">
        <v>36</v>
      </c>
      <c r="I16" s="40" t="s">
        <v>37</v>
      </c>
      <c r="J16"/>
      <c r="K16"/>
      <c r="L16"/>
      <c r="M16"/>
      <c r="N16"/>
      <c r="O16"/>
      <c r="R16" s="186"/>
      <c r="S16" s="40"/>
      <c r="T16" s="40"/>
    </row>
    <row r="17" spans="1:21" ht="15" thickBot="1">
      <c r="A17" s="223">
        <v>4004069</v>
      </c>
      <c r="B17" s="223" t="s">
        <v>68</v>
      </c>
      <c r="D17" s="31" t="s">
        <v>38</v>
      </c>
      <c r="E17" s="179">
        <v>1</v>
      </c>
      <c r="F17" s="228">
        <f>ROUNDUP(G17,0)</f>
        <v>0</v>
      </c>
      <c r="G17" s="229">
        <f>IF(F13=0%,((F8+F10)*2),IF(F13=0.5%,((F8+F10)*2)+((0.5%*((F8+F10)*2)+1)),IF(F13=1%,((F8+F10)*2)+((1%*((F8+F10)*2)+1)),IF(F13=2%,((F8+F10)*2)+((2%*((F8+F10)*2)+1)),IF(F13=3%,((F8+F10)*2)+(3%*((F8+F10)*2)),IF(F13=4%,((F8+F10)*2)+(4%*((F8+F10)*2)),IF(F13=5%,((F8+F10)*2)+(5%*((F8+F10)*2)),"")))))))</f>
        <v>0</v>
      </c>
      <c r="H17" s="226" t="str">
        <f>IF(G17&gt;0,$A$6,"")</f>
        <v/>
      </c>
      <c r="I17" s="226" t="str">
        <f>IF(H17="","",$B$6)</f>
        <v/>
      </c>
      <c r="J17" s="230" t="s">
        <v>34</v>
      </c>
      <c r="K17" s="230" t="s">
        <v>35</v>
      </c>
      <c r="L17" s="230" t="s">
        <v>25</v>
      </c>
      <c r="M17" s="231" t="s">
        <v>260</v>
      </c>
      <c r="N17" s="231" t="s">
        <v>37</v>
      </c>
      <c r="O17"/>
      <c r="P17" s="232" t="s">
        <v>34</v>
      </c>
      <c r="Q17" s="232" t="s">
        <v>35</v>
      </c>
      <c r="R17" s="233" t="s">
        <v>25</v>
      </c>
      <c r="S17" s="231" t="s">
        <v>260</v>
      </c>
      <c r="T17" s="231" t="s">
        <v>37</v>
      </c>
    </row>
    <row r="18" spans="1:21">
      <c r="A18" s="223">
        <v>4006064</v>
      </c>
      <c r="B18" s="223" t="s">
        <v>69</v>
      </c>
      <c r="D18" s="31" t="s">
        <v>255</v>
      </c>
      <c r="E18" s="179">
        <v>1</v>
      </c>
      <c r="F18" s="228">
        <f>F17*2</f>
        <v>0</v>
      </c>
      <c r="G18" s="229">
        <f>G17*2</f>
        <v>0</v>
      </c>
      <c r="H18" s="226" t="str">
        <f>IF(G18&gt;0,$A$7,"")</f>
        <v/>
      </c>
      <c r="I18" s="226" t="str">
        <f>IF(H18="","",$B$7)</f>
        <v/>
      </c>
      <c r="J18" s="281" t="s">
        <v>256</v>
      </c>
      <c r="K18" s="282">
        <v>1</v>
      </c>
      <c r="L18" s="283">
        <f>IF(AND('Calcul quantité'!F18="",'Calcul quantité'!F55="",'Calcul quantité'!F92="",'Calcul quantité'!F129="",'Calcul quantité'!F166="",'Calcul quantité'!F203="",'Calcul quantité'!F240="",'Calcul quantité'!F277="",'Calcul quantité'!F314="",'Calcul quantité'!F351=""),"",ROUNDUP(SUM('Calcul quantité'!F18,'Calcul quantité'!F55,'Calcul quantité'!F92,'Calcul quantité'!F129,'Calcul quantité'!F166,'Calcul quantité'!F203,'Calcul quantité'!F240,'Calcul quantité'!F277,'Calcul quantité'!F314,'Calcul quantité'!F351),0))</f>
        <v>0</v>
      </c>
      <c r="M18" s="234">
        <f>IF(OR(L18="",L18&lt;0),"",$A$5)</f>
        <v>10720</v>
      </c>
      <c r="N18" s="234" t="str">
        <f>IF(M18="","",$B$5)</f>
        <v>Rail Jorisolar Opti'Roof 100mm + joints</v>
      </c>
      <c r="O18"/>
      <c r="P18" s="281" t="s">
        <v>134</v>
      </c>
      <c r="Q18" s="287">
        <v>1</v>
      </c>
      <c r="R18" s="288">
        <f>IF(AND('Calcul quantité'!L18="",'Calcul quantité'!L55="",'Calcul quantité'!L92="",'Calcul quantité'!L129="",'Calcul quantité'!L166="",'Calcul quantité'!L203="",'Calcul quantité'!L240="",'Calcul quantité'!L277="",'Calcul quantité'!L314="",'Calcul quantité'!L351=""),"",ROUNDUP(SUM('Calcul quantité'!L18,'Calcul quantité'!L55,'Calcul quantité'!L92,'Calcul quantité'!L129,'Calcul quantité'!L166,'Calcul quantité'!L203,'Calcul quantité'!L240,'Calcul quantité'!L277,'Calcul quantité'!L314,'Calcul quantité'!L351),0))</f>
        <v>3</v>
      </c>
      <c r="S18" s="234">
        <f>IF(OR(R18="",R18&lt;0),"",$A$3)</f>
        <v>4004059</v>
      </c>
      <c r="T18" s="234" t="str">
        <f>IF(S18="","",B3)</f>
        <v>Rail Jorisolar RS-R 385mm</v>
      </c>
    </row>
    <row r="19" spans="1:21">
      <c r="A19" s="223">
        <v>4005065</v>
      </c>
      <c r="B19" s="223" t="s">
        <v>70</v>
      </c>
      <c r="D19" s="31" t="s">
        <v>39</v>
      </c>
      <c r="E19" s="179">
        <v>100</v>
      </c>
      <c r="F19" s="235">
        <f>ROUNDUP(G19,0)</f>
        <v>0</v>
      </c>
      <c r="G19" s="229">
        <f>(G17*3)/100</f>
        <v>0</v>
      </c>
      <c r="H19" s="226" t="str">
        <f>IF(G19&gt;0,$A$8,"")</f>
        <v/>
      </c>
      <c r="I19" s="226" t="str">
        <f>IF(H19="","",$B$8)</f>
        <v/>
      </c>
      <c r="J19" s="284" t="s">
        <v>249</v>
      </c>
      <c r="K19" s="285">
        <v>1</v>
      </c>
      <c r="L19" s="286" t="str">
        <f>IF(AND('Calcul quantité'!F19="",'Calcul quantité'!F56="",'Calcul quantité'!F93="",'Calcul quantité'!F130="",'Calcul quantité'!F167="",'Calcul quantité'!F204="",'Calcul quantité'!F241="",'Calcul quantité'!F278="",'Calcul quantité'!F315="",'Calcul quantité'!F352=""),"",ROUNDUP(SUM('Calcul quantité'!F19,'Calcul quantité'!F56,'Calcul quantité'!F93,'Calcul quantité'!F130,'Calcul quantité'!F167,'Calcul quantité'!F204,'Calcul quantité'!F241,'Calcul quantité'!F278,'Calcul quantité'!F315,'Calcul quantité'!F352),0))</f>
        <v/>
      </c>
      <c r="M19" s="234" t="str">
        <f>IF(OR(L19="",L19&lt;0),"",$A$7)</f>
        <v/>
      </c>
      <c r="N19" s="234" t="str">
        <f>IF(M19="","",$B$7)</f>
        <v/>
      </c>
      <c r="O19"/>
      <c r="P19" s="289" t="s">
        <v>253</v>
      </c>
      <c r="Q19" s="285">
        <v>1</v>
      </c>
      <c r="R19" s="290" t="str">
        <f>IF(AND('Calcul quantité'!L19="",'Calcul quantité'!L56="",'Calcul quantité'!L93="",'Calcul quantité'!L130="",'Calcul quantité'!L167="",'Calcul quantité'!L204="",'Calcul quantité'!L241="",'Calcul quantité'!L278="",'Calcul quantité'!L315="",'Calcul quantité'!L352=""),"",ROUNDUP(SUM('Calcul quantité'!L19,'Calcul quantité'!L56,'Calcul quantité'!L93,'Calcul quantité'!L130,'Calcul quantité'!L167,'Calcul quantité'!L204,'Calcul quantité'!L241,'Calcul quantité'!L278,'Calcul quantité'!L315,'Calcul quantité'!L352),0))</f>
        <v/>
      </c>
      <c r="S19" s="234" t="str">
        <f>IF(OR(R19="",R19&lt;0),"",$A$49)</f>
        <v/>
      </c>
      <c r="T19" s="234" t="str">
        <f>IF(S19="","",B49)</f>
        <v/>
      </c>
    </row>
    <row r="20" spans="1:21" ht="15" thickBot="1">
      <c r="A20" s="223">
        <v>4007988</v>
      </c>
      <c r="B20" s="223" t="s">
        <v>71</v>
      </c>
      <c r="D20" s="31" t="s">
        <v>72</v>
      </c>
      <c r="E20" s="179">
        <v>100</v>
      </c>
      <c r="F20" s="228">
        <f>ROUNDUP(G20,0)</f>
        <v>0</v>
      </c>
      <c r="G20" s="229">
        <f>G17</f>
        <v>0</v>
      </c>
      <c r="H20" s="226" t="str">
        <f>IF(G20&gt;0,$A$9,"")</f>
        <v/>
      </c>
      <c r="I20" s="226" t="str">
        <f>IF(H20="","",$B$9)</f>
        <v/>
      </c>
      <c r="J20" s="277" t="s">
        <v>39</v>
      </c>
      <c r="K20" s="278">
        <v>100</v>
      </c>
      <c r="L20" s="279">
        <f>IF(AND('Calcul quantité'!F20="",'Calcul quantité'!F57="",'Calcul quantité'!F94="",'Calcul quantité'!F131="",'Calcul quantité'!F168="",'Calcul quantité'!F205="",'Calcul quantité'!F242="",'Calcul quantité'!F279="",'Calcul quantité'!F316="",'Calcul quantité'!F353=""),"",ROUNDUP(SUM('Calcul quantité'!F20,'Calcul quantité'!F57,'Calcul quantité'!F94,'Calcul quantité'!F131,'Calcul quantité'!F168,'Calcul quantité'!F205,'Calcul quantité'!F242,'Calcul quantité'!F279,'Calcul quantité'!F316,'Calcul quantité'!F353),0))</f>
        <v>0</v>
      </c>
      <c r="M20" s="234">
        <f>IF(OR(L20="",L20&lt;0),"",$A$8)</f>
        <v>4001967</v>
      </c>
      <c r="N20" s="234" t="str">
        <f>IF(M20="","",$B$8)</f>
        <v>Vis fixation support Jorisolar 6,3x22</v>
      </c>
      <c r="O20"/>
      <c r="P20" s="277" t="s">
        <v>39</v>
      </c>
      <c r="Q20" s="278">
        <v>100</v>
      </c>
      <c r="R20" s="280">
        <f>IF(AND('Calcul quantité'!L20="",'Calcul quantité'!L57="",'Calcul quantité'!L94="",'Calcul quantité'!L131="",'Calcul quantité'!L168="",'Calcul quantité'!L205="",'Calcul quantité'!L242="",'Calcul quantité'!L279="",'Calcul quantité'!L316="",'Calcul quantité'!L353=""),"",ROUNDUP(SUM('Calcul quantité'!L20,'Calcul quantité'!L57,'Calcul quantité'!L94,'Calcul quantité'!L131,'Calcul quantité'!L168,'Calcul quantité'!L205,'Calcul quantité'!L242,'Calcul quantité'!L279,'Calcul quantité'!L316,'Calcul quantité'!L353),0))</f>
        <v>3</v>
      </c>
      <c r="S20" s="234">
        <f>IF(OR(R20="",R20&lt;0),"",$A$8)</f>
        <v>4001967</v>
      </c>
      <c r="T20" s="234" t="str">
        <f>IF(S20="","",B8)</f>
        <v>Vis fixation support Jorisolar 6,3x22</v>
      </c>
    </row>
    <row r="21" spans="1:21" ht="15" thickBot="1">
      <c r="A21" s="223">
        <v>4007989</v>
      </c>
      <c r="B21" s="223" t="s">
        <v>73</v>
      </c>
      <c r="D21" s="31" t="s">
        <v>74</v>
      </c>
      <c r="E21" s="179">
        <v>1</v>
      </c>
      <c r="F21" s="228">
        <f t="shared" ref="F21:F25" si="0">ROUNDUP(G21,0)</f>
        <v>0</v>
      </c>
      <c r="G21" s="229">
        <f>G17-(F10*4)</f>
        <v>0</v>
      </c>
      <c r="H21" s="226" t="str">
        <f>IF(OR(F12="non"),$A$10,IF(OR(F12="oui"),$A$11,""))</f>
        <v/>
      </c>
      <c r="I21" s="226" t="str">
        <f>IF(OR(H21=4004060),$B$10,IF(OR(H21=4007991),$B$11,""))</f>
        <v/>
      </c>
      <c r="J21" s="311" t="s">
        <v>262</v>
      </c>
      <c r="K21" s="240">
        <v>1</v>
      </c>
      <c r="L21" s="241">
        <f>IF(AND('Calcul quantité'!F21="",'Calcul quantité'!F58="",'Calcul quantité'!F95="",'Calcul quantité'!F132="",'Calcul quantité'!F169="",'Calcul quantité'!F206="",'Calcul quantité'!F243="",'Calcul quantité'!F280="",'Calcul quantité'!F317="",'Calcul quantité'!F354=""),"",ROUNDUP(SUM('Calcul quantité'!F21,'Calcul quantité'!F58,'Calcul quantité'!F95,'Calcul quantité'!F132,'Calcul quantité'!F169,'Calcul quantité'!F206,'Calcul quantité'!F243,'Calcul quantité'!F280,'Calcul quantité'!F317,'Calcul quantité'!F354),0))</f>
        <v>0</v>
      </c>
      <c r="M21" s="234">
        <f>IF(OR(L21="",L21&lt;0),"",$A$50)</f>
        <v>16739</v>
      </c>
      <c r="N21" s="234" t="str">
        <f>IF(M21="","",$B$50)</f>
        <v>Kit Bride Centrale ST02+Terragrif 30-50 universelle Jorisolar</v>
      </c>
      <c r="O21"/>
      <c r="P21" s="311" t="s">
        <v>271</v>
      </c>
      <c r="Q21" s="253">
        <v>1</v>
      </c>
      <c r="R21" s="254">
        <f>IF(AND('Calcul quantité'!L21="",'Calcul quantité'!L58="",'Calcul quantité'!L95="",'Calcul quantité'!L132="",'Calcul quantité'!L169="",'Calcul quantité'!L206="",'Calcul quantité'!L243="",'Calcul quantité'!L280="",'Calcul quantité'!L317="",'Calcul quantité'!L354=""),"",ROUNDUP(SUM('Calcul quantité'!L21,'Calcul quantité'!L58,'Calcul quantité'!L95,'Calcul quantité'!L132,'Calcul quantité'!L169,'Calcul quantité'!L206,'Calcul quantité'!L243,'Calcul quantité'!L280,'Calcul quantité'!L317,'Calcul quantité'!L354),0))</f>
        <v>0</v>
      </c>
      <c r="S21" s="234">
        <f>IF(OR(R21="",R21&lt;0),"",A50)</f>
        <v>16739</v>
      </c>
      <c r="T21" s="234" t="str">
        <f>IF(S21="","",B50)</f>
        <v>Kit Bride Centrale ST02+Terragrif 30-50 universelle Jorisolar</v>
      </c>
    </row>
    <row r="22" spans="1:21">
      <c r="A22" s="223">
        <v>4007990</v>
      </c>
      <c r="B22" s="223" t="s">
        <v>75</v>
      </c>
      <c r="D22" s="31" t="s">
        <v>76</v>
      </c>
      <c r="E22" s="179">
        <v>100</v>
      </c>
      <c r="F22" s="228">
        <f t="shared" si="0"/>
        <v>0</v>
      </c>
      <c r="G22" s="229">
        <f>G21</f>
        <v>0</v>
      </c>
      <c r="H22" s="226" t="str">
        <f>IF(AND(OR(F11=30,F11=31),F12="non"),$A$13,IF(AND(AND(F11&gt;=32,F11&lt;=36),F12="non"),$A$14,IF(AND(AND(F11&gt;=37,F11&lt;=41),F12="non"),$A$15,IF(AND(AND(F11&gt;=42,F11&lt;=46),F12="non"),$A$16,IF(AND(AND(F11&gt;=47,F11&lt;=50),F12="non"),$A$17,IF(AND(AND(F11&gt;=30,F11&lt;=34),F12="oui"),$A$19,IF(AND(AND(F11&gt;=35,F11&lt;=39),F12="oui"),$A$20,IF(AND(AND(F11&gt;=40,F11&lt;=44),F12="oui"),$A$21,IF(AND(AND(F11&gt;=45,F11&lt;=49),F12="oui"),$A$22,IF(AND(F11&gt;=50,F12="oui"),$A$23,""))))))))))</f>
        <v/>
      </c>
      <c r="I22" s="226" t="str">
        <f>IF(H22=4005971,$B$13,IF(H22=4004196,$B$14,IF(H22=4004197,$B$15,IF(H22=4004238,$B$16,IF(H22=4004069,$B$17,IF(H22=4005065,$B$19,IF(H22=4007988,$B$20,IF(H22=4007989,$B$21,IF(H22=4007990,$B$22,IF(H22=4008624,$B$23,""))))))))))</f>
        <v/>
      </c>
      <c r="J22" s="310" t="s">
        <v>263</v>
      </c>
      <c r="K22" s="242">
        <v>1</v>
      </c>
      <c r="L22" s="243" t="str">
        <f>IF(AND('Calcul quantité'!F22="",'Calcul quantité'!F59="",'Calcul quantité'!F96="",'Calcul quantité'!F133="",'Calcul quantité'!F170="",'Calcul quantité'!F207="",'Calcul quantité'!F244="",'Calcul quantité'!F281="",'Calcul quantité'!F318="",'Calcul quantité'!F355=""),"",ROUNDUP(SUM('Calcul quantité'!F22,'Calcul quantité'!F59,'Calcul quantité'!F96,'Calcul quantité'!F133,'Calcul quantité'!F170,'Calcul quantité'!F207,'Calcul quantité'!F244,'Calcul quantité'!F281,'Calcul quantité'!F318,'Calcul quantité'!F355),0))</f>
        <v/>
      </c>
      <c r="M22" s="234" t="str">
        <f>IF(OR(L22="",L22&lt;0),"",$A$51)</f>
        <v/>
      </c>
      <c r="N22" s="234" t="str">
        <f>IF($M$22="","",$B$51)</f>
        <v/>
      </c>
      <c r="O22"/>
      <c r="P22" s="310" t="s">
        <v>263</v>
      </c>
      <c r="Q22" s="255">
        <v>1</v>
      </c>
      <c r="R22" s="256" t="str">
        <f>IF(AND('Calcul quantité'!L22="",'Calcul quantité'!L59="",'Calcul quantité'!L96="",'Calcul quantité'!L133="",'Calcul quantité'!L170="",'Calcul quantité'!L207="",'Calcul quantité'!L244="",'Calcul quantité'!L281="",'Calcul quantité'!L318="",'Calcul quantité'!L355=""),"",ROUNDUP(SUM('Calcul quantité'!L22,'Calcul quantité'!L59,'Calcul quantité'!L96,'Calcul quantité'!L133,'Calcul quantité'!L170,'Calcul quantité'!L207,'Calcul quantité'!L244,'Calcul quantité'!L281,'Calcul quantité'!L318,'Calcul quantité'!L355),0))</f>
        <v/>
      </c>
      <c r="S22" s="234" t="str">
        <f t="shared" ref="S22:S40" si="1">IF(OR(R22="",R22&lt;0),"",A51)</f>
        <v/>
      </c>
      <c r="T22" s="234" t="str">
        <f t="shared" ref="T22:T40" si="2">IF(S22="","",B51)</f>
        <v/>
      </c>
    </row>
    <row r="23" spans="1:21">
      <c r="A23" s="223">
        <v>4008624</v>
      </c>
      <c r="B23" s="223" t="s">
        <v>77</v>
      </c>
      <c r="D23" s="31" t="s">
        <v>78</v>
      </c>
      <c r="E23" s="179">
        <v>1</v>
      </c>
      <c r="F23" s="228">
        <f t="shared" si="0"/>
        <v>0</v>
      </c>
      <c r="G23" s="229">
        <f>G17-G21</f>
        <v>0</v>
      </c>
      <c r="H23" s="226" t="str">
        <f>IF(OR(F11=30,F11=31),$A$24,IF(OR(F11=32,F11=33),$A$26,IF(OR(F11=34,F11=35),$A$28,IF(OR(F11=36,F11=37),$A$30,IF(OR(F11=38,F11=39),$A$31,IF(OR(F11=40,F11=41),$A$33,IF(AND(F11&gt;=42,F11&lt;=44),$A$35,IF(AND(F11&gt;=45,F11&lt;=49),$A$36,IF(OR(F11=50),$A$38,"")))))))))</f>
        <v/>
      </c>
      <c r="I23" s="226" t="str">
        <f>IF(OR(H23=4005985),$B$24,IF(OR(H23=4007756),$B$26,IF(OR(H23=4004232),$B$28,IF(OR(H23=4004192),$B$30,IF(OR(H23=4004194),$B$31,IF(OR(H23=4004190),$B$33,IF(OR(H23=4004193),$B$35,IF(OR(H23=4004195),$B$36,IF(OR(H23=4003997),$B$38,"")))))))))</f>
        <v/>
      </c>
      <c r="J23" s="244" t="s">
        <v>264</v>
      </c>
      <c r="K23" s="245">
        <v>1</v>
      </c>
      <c r="L23" s="246" t="str">
        <f>IF(AND('Calcul quantité'!F23="",'Calcul quantité'!F60="",'Calcul quantité'!F97="",'Calcul quantité'!F134="",'Calcul quantité'!F171="",'Calcul quantité'!F208="",'Calcul quantité'!F245="",'Calcul quantité'!F282="",'Calcul quantité'!F319="",'Calcul quantité'!F356=""),"",ROUNDUP(SUM('Calcul quantité'!F23,'Calcul quantité'!F60,'Calcul quantité'!F97,'Calcul quantité'!F134,'Calcul quantité'!F171,'Calcul quantité'!F208,'Calcul quantité'!F245,'Calcul quantité'!F282,'Calcul quantité'!F319,'Calcul quantité'!F356),0))</f>
        <v/>
      </c>
      <c r="M23" s="234" t="str">
        <f>IF(OR(L23="",L23&lt;0),"",$A$52)</f>
        <v/>
      </c>
      <c r="N23" s="234" t="str">
        <f>IF($M$23="","",$B$52)</f>
        <v/>
      </c>
      <c r="O23"/>
      <c r="P23" s="244" t="s">
        <v>264</v>
      </c>
      <c r="Q23" s="257">
        <v>1</v>
      </c>
      <c r="R23" s="258" t="str">
        <f>IF(AND('Calcul quantité'!L23="",'Calcul quantité'!L60="",'Calcul quantité'!L97="",'Calcul quantité'!L134="",'Calcul quantité'!L171="",'Calcul quantité'!L208="",'Calcul quantité'!L245="",'Calcul quantité'!L282="",'Calcul quantité'!L319="",'Calcul quantité'!L356=""),"",ROUNDUP(SUM('Calcul quantité'!L23,'Calcul quantité'!L60,'Calcul quantité'!L97,'Calcul quantité'!L134,'Calcul quantité'!L171,'Calcul quantité'!L208,'Calcul quantité'!L245,'Calcul quantité'!L282,'Calcul quantité'!L319,'Calcul quantité'!L356),0))</f>
        <v/>
      </c>
      <c r="S23" s="234" t="str">
        <f t="shared" si="1"/>
        <v/>
      </c>
      <c r="T23" s="234" t="str">
        <f t="shared" si="2"/>
        <v/>
      </c>
    </row>
    <row r="24" spans="1:21">
      <c r="A24" s="223">
        <v>4005985</v>
      </c>
      <c r="B24" s="223" t="s">
        <v>79</v>
      </c>
      <c r="D24" s="31" t="s">
        <v>80</v>
      </c>
      <c r="E24" s="179">
        <v>100</v>
      </c>
      <c r="F24" s="228">
        <f t="shared" si="0"/>
        <v>0</v>
      </c>
      <c r="G24" s="229">
        <f>G23</f>
        <v>0</v>
      </c>
      <c r="H24" s="226" t="str">
        <f>IF(OR(F11=30,F11=31),$A$39,IF(AND(F11&gt;=32,F11&lt;=49),$A$40,IF(F11=50,$A$42,"")))</f>
        <v/>
      </c>
      <c r="I24" s="226" t="str">
        <f>IF(H24=4004191,$B$39,IF(H24=4005064,$B$40,IF(H24=4005065,$B$42,"")))</f>
        <v/>
      </c>
      <c r="J24" s="244" t="s">
        <v>265</v>
      </c>
      <c r="K24" s="245">
        <v>1</v>
      </c>
      <c r="L24" s="246" t="str">
        <f>IF(AND('Calcul quantité'!F24="",'Calcul quantité'!F61="",'Calcul quantité'!F98="",'Calcul quantité'!F135="",'Calcul quantité'!F172="",'Calcul quantité'!F209="",'Calcul quantité'!F246="",'Calcul quantité'!F283="",'Calcul quantité'!F320="",'Calcul quantité'!F357=""),"",ROUNDUP(SUM('Calcul quantité'!F24,'Calcul quantité'!F61,'Calcul quantité'!F98,'Calcul quantité'!F135,'Calcul quantité'!F172,'Calcul quantité'!F209,'Calcul quantité'!F246,'Calcul quantité'!F283,'Calcul quantité'!F320,'Calcul quantité'!F357),0))</f>
        <v/>
      </c>
      <c r="M24" s="234" t="str">
        <f>IF(OR(L24="",L24&lt;0),"",$A$53)</f>
        <v/>
      </c>
      <c r="N24" s="234" t="str">
        <f t="shared" ref="N24:N40" si="3">IF(M24="","",B53)</f>
        <v/>
      </c>
      <c r="O24"/>
      <c r="P24" s="244" t="s">
        <v>265</v>
      </c>
      <c r="Q24" s="257">
        <v>1</v>
      </c>
      <c r="R24" s="258" t="str">
        <f>IF(AND('Calcul quantité'!L24="",'Calcul quantité'!L61="",'Calcul quantité'!L98="",'Calcul quantité'!L135="",'Calcul quantité'!L172="",'Calcul quantité'!L209="",'Calcul quantité'!L246="",'Calcul quantité'!L283="",'Calcul quantité'!L320="",'Calcul quantité'!L357=""),"",ROUNDUP(SUM('Calcul quantité'!L24,'Calcul quantité'!L61,'Calcul quantité'!L98,'Calcul quantité'!L135,'Calcul quantité'!L172,'Calcul quantité'!L209,'Calcul quantité'!L246,'Calcul quantité'!L283,'Calcul quantité'!L320,'Calcul quantité'!L357),0))</f>
        <v/>
      </c>
      <c r="S24" s="234" t="str">
        <f t="shared" si="1"/>
        <v/>
      </c>
      <c r="T24" s="234">
        <v>1</v>
      </c>
      <c r="U24">
        <f>ROUNDUP(T24,0)</f>
        <v>1</v>
      </c>
    </row>
    <row r="25" spans="1:21">
      <c r="A25" s="223">
        <v>4006212</v>
      </c>
      <c r="B25" s="223" t="s">
        <v>81</v>
      </c>
      <c r="D25" s="31" t="s">
        <v>82</v>
      </c>
      <c r="E25" s="179">
        <v>100</v>
      </c>
      <c r="F25" s="228">
        <f t="shared" si="0"/>
        <v>0</v>
      </c>
      <c r="G25" s="229">
        <f>IF(OR(F12="non",F12=""),G23,G23+G21)</f>
        <v>0</v>
      </c>
      <c r="H25" s="226" t="str">
        <f>IF(G25&gt;0,$A$43,"")</f>
        <v/>
      </c>
      <c r="I25" s="226" t="str">
        <f>IF(H25="","",$B$43)</f>
        <v/>
      </c>
      <c r="J25" s="244" t="s">
        <v>266</v>
      </c>
      <c r="K25" s="245">
        <v>1</v>
      </c>
      <c r="L25" s="246" t="str">
        <f>IF(AND('Calcul quantité'!F25="",'Calcul quantité'!F62="",'Calcul quantité'!F99="",'Calcul quantité'!F136="",'Calcul quantité'!F173="",'Calcul quantité'!F210="",'Calcul quantité'!F247="",'Calcul quantité'!F284="",'Calcul quantité'!F321="",'Calcul quantité'!F358=""),"",ROUNDUP(SUM('Calcul quantité'!F25,'Calcul quantité'!F62,'Calcul quantité'!F99,'Calcul quantité'!F136,'Calcul quantité'!F173,'Calcul quantité'!F210,'Calcul quantité'!F247,'Calcul quantité'!F284,'Calcul quantité'!F321,'Calcul quantité'!F358),0))</f>
        <v/>
      </c>
      <c r="M25" s="234" t="str">
        <f>IF(OR(L25="",L25&lt;0),"",$A$54)</f>
        <v/>
      </c>
      <c r="N25" s="234" t="str">
        <f t="shared" si="3"/>
        <v/>
      </c>
      <c r="O25"/>
      <c r="P25" s="244" t="s">
        <v>266</v>
      </c>
      <c r="Q25" s="257">
        <v>1</v>
      </c>
      <c r="R25" s="258" t="str">
        <f>IF(AND('Calcul quantité'!L25="",'Calcul quantité'!L62="",'Calcul quantité'!L99="",'Calcul quantité'!L136="",'Calcul quantité'!L173="",'Calcul quantité'!L210="",'Calcul quantité'!L247="",'Calcul quantité'!L284="",'Calcul quantité'!L321="",'Calcul quantité'!L358=""),"",ROUNDUP(SUM('Calcul quantité'!L25,'Calcul quantité'!L62,'Calcul quantité'!L99,'Calcul quantité'!L136,'Calcul quantité'!L173,'Calcul quantité'!L210,'Calcul quantité'!L247,'Calcul quantité'!L284,'Calcul quantité'!L321,'Calcul quantité'!L358),0))</f>
        <v/>
      </c>
      <c r="S25" s="234" t="str">
        <f t="shared" si="1"/>
        <v/>
      </c>
      <c r="T25" s="234" t="str">
        <f t="shared" si="2"/>
        <v/>
      </c>
    </row>
    <row r="26" spans="1:21" ht="15" thickBot="1">
      <c r="A26" s="223">
        <v>4007756</v>
      </c>
      <c r="B26" s="223" t="s">
        <v>83</v>
      </c>
      <c r="D26" s="31" t="s">
        <v>54</v>
      </c>
      <c r="E26" s="179">
        <v>1</v>
      </c>
      <c r="F26" s="237"/>
      <c r="H26" s="226" t="str">
        <f>IF(F26&gt;0,$A$47,"")</f>
        <v/>
      </c>
      <c r="I26" s="226" t="str">
        <f>IF(H26="","",B47)</f>
        <v/>
      </c>
      <c r="J26" s="247" t="s">
        <v>267</v>
      </c>
      <c r="K26" s="248">
        <v>1</v>
      </c>
      <c r="L26" s="249" t="str">
        <f>IF(AND('Calcul quantité'!F26="",'Calcul quantité'!F63="",'Calcul quantité'!F100="",'Calcul quantité'!F137="",'Calcul quantité'!F174="",'Calcul quantité'!F211="",'Calcul quantité'!F248="",'Calcul quantité'!F285="",'Calcul quantité'!F322="",'Calcul quantité'!F359=""),"",ROUNDUP(SUM('Calcul quantité'!F26,'Calcul quantité'!F63,'Calcul quantité'!F100,'Calcul quantité'!F137,'Calcul quantité'!F174,'Calcul quantité'!F211,'Calcul quantité'!F248,'Calcul quantité'!F285,'Calcul quantité'!F322,'Calcul quantité'!F359),0))</f>
        <v/>
      </c>
      <c r="M26" s="234" t="str">
        <f>IF(OR(L26="",L26&lt;0),"",$A$55)</f>
        <v/>
      </c>
      <c r="N26" s="234" t="str">
        <f t="shared" si="3"/>
        <v/>
      </c>
      <c r="O26"/>
      <c r="P26" s="247" t="s">
        <v>267</v>
      </c>
      <c r="Q26" s="259">
        <v>1</v>
      </c>
      <c r="R26" s="260" t="str">
        <f>IF(AND('Calcul quantité'!L26="",'Calcul quantité'!L63="",'Calcul quantité'!L100="",'Calcul quantité'!L137="",'Calcul quantité'!L174="",'Calcul quantité'!L211="",'Calcul quantité'!L248="",'Calcul quantité'!L285="",'Calcul quantité'!L322="",'Calcul quantité'!L359=""),"",ROUNDUP(SUM('Calcul quantité'!L26,'Calcul quantité'!L63,'Calcul quantité'!L100,'Calcul quantité'!L137,'Calcul quantité'!L174,'Calcul quantité'!L211,'Calcul quantité'!L248,'Calcul quantité'!L285,'Calcul quantité'!L322,'Calcul quantité'!L359),0))</f>
        <v/>
      </c>
      <c r="S26" s="234" t="str">
        <f t="shared" si="1"/>
        <v/>
      </c>
      <c r="T26" s="234" t="str">
        <f t="shared" si="2"/>
        <v/>
      </c>
    </row>
    <row r="27" spans="1:21">
      <c r="A27" s="223">
        <v>4008435</v>
      </c>
      <c r="B27" s="223" t="s">
        <v>84</v>
      </c>
      <c r="E27" s="39"/>
      <c r="F27" s="180"/>
      <c r="J27" s="250" t="s">
        <v>257</v>
      </c>
      <c r="K27" s="251">
        <v>1</v>
      </c>
      <c r="L27" s="252" t="str">
        <f>IF(AND('Calcul quantité'!F27="",'Calcul quantité'!F64="",'Calcul quantité'!F101="",'Calcul quantité'!F138="",'Calcul quantité'!F175="",'Calcul quantité'!F212="",'Calcul quantité'!F249="",'Calcul quantité'!F286="",'Calcul quantité'!F323="",'Calcul quantité'!F360=""),"",ROUNDUP(SUM('Calcul quantité'!F27,'Calcul quantité'!F64,'Calcul quantité'!F101,'Calcul quantité'!F138,'Calcul quantité'!F175,'Calcul quantité'!F212,'Calcul quantité'!F249,'Calcul quantité'!F286,'Calcul quantité'!F323,'Calcul quantité'!F360),0))</f>
        <v/>
      </c>
      <c r="M27" s="234" t="str">
        <f>IF(OR(L27="",L27&lt;0),"",$A$56)</f>
        <v/>
      </c>
      <c r="N27" s="234" t="str">
        <f t="shared" si="3"/>
        <v/>
      </c>
      <c r="O27"/>
      <c r="P27" s="250" t="s">
        <v>40</v>
      </c>
      <c r="Q27" s="261">
        <v>1</v>
      </c>
      <c r="R27" s="256" t="str">
        <f>IF(AND('Calcul quantité'!L27="",'Calcul quantité'!L64="",'Calcul quantité'!L101="",'Calcul quantité'!L138="",'Calcul quantité'!L175="",'Calcul quantité'!L212="",'Calcul quantité'!L249="",'Calcul quantité'!L286="",'Calcul quantité'!L323="",'Calcul quantité'!L360=""),"",ROUNDUP(SUM('Calcul quantité'!L27,'Calcul quantité'!L64,'Calcul quantité'!L101,'Calcul quantité'!L138,'Calcul quantité'!L175,'Calcul quantité'!L212,'Calcul quantité'!L249,'Calcul quantité'!L286,'Calcul quantité'!L323,'Calcul quantité'!L360),0))</f>
        <v/>
      </c>
      <c r="S27" s="234" t="str">
        <f t="shared" si="1"/>
        <v/>
      </c>
      <c r="T27" s="234" t="str">
        <f t="shared" si="2"/>
        <v/>
      </c>
    </row>
    <row r="28" spans="1:21">
      <c r="A28" s="223">
        <v>4004232</v>
      </c>
      <c r="B28" s="223" t="s">
        <v>85</v>
      </c>
      <c r="E28" s="39"/>
      <c r="F28" s="180"/>
      <c r="J28" s="244" t="s">
        <v>41</v>
      </c>
      <c r="K28" s="245">
        <v>1</v>
      </c>
      <c r="L28" s="246" t="str">
        <f>IF(AND('Calcul quantité'!F28="",'Calcul quantité'!F65="",'Calcul quantité'!F102="",'Calcul quantité'!F139="",'Calcul quantité'!F176="",'Calcul quantité'!F213="",'Calcul quantité'!F250="",'Calcul quantité'!F287="",'Calcul quantité'!F324="",'Calcul quantité'!F361=""),"",ROUNDUP(SUM('Calcul quantité'!F28,'Calcul quantité'!F65,'Calcul quantité'!F102,'Calcul quantité'!F139,'Calcul quantité'!F176,'Calcul quantité'!F213,'Calcul quantité'!F250,'Calcul quantité'!F287,'Calcul quantité'!F324,'Calcul quantité'!F361),0))</f>
        <v/>
      </c>
      <c r="M28" s="234" t="str">
        <f>IF(OR(L28="",L28&lt;0),"",$A$57)</f>
        <v/>
      </c>
      <c r="N28" s="234" t="str">
        <f t="shared" si="3"/>
        <v/>
      </c>
      <c r="O28"/>
      <c r="P28" s="244" t="s">
        <v>41</v>
      </c>
      <c r="Q28" s="257">
        <v>1</v>
      </c>
      <c r="R28" s="258" t="str">
        <f>IF(AND('Calcul quantité'!L28="",'Calcul quantité'!L65="",'Calcul quantité'!L102="",'Calcul quantité'!L139="",'Calcul quantité'!L176="",'Calcul quantité'!L213="",'Calcul quantité'!L250="",'Calcul quantité'!L287="",'Calcul quantité'!L324="",'Calcul quantité'!L361=""),"",ROUNDUP(SUM('Calcul quantité'!L28,'Calcul quantité'!L65,'Calcul quantité'!L102,'Calcul quantité'!L139,'Calcul quantité'!L176,'Calcul quantité'!L213,'Calcul quantité'!L250,'Calcul quantité'!L287,'Calcul quantité'!L324,'Calcul quantité'!L361),0))</f>
        <v/>
      </c>
      <c r="S28" s="234" t="str">
        <f t="shared" si="1"/>
        <v/>
      </c>
      <c r="T28" s="234" t="str">
        <f t="shared" si="2"/>
        <v/>
      </c>
    </row>
    <row r="29" spans="1:21">
      <c r="A29" s="223">
        <v>4008148</v>
      </c>
      <c r="B29" s="223" t="s">
        <v>86</v>
      </c>
      <c r="D29" s="238"/>
      <c r="E29" s="238"/>
      <c r="F29" s="180"/>
      <c r="J29" s="244" t="s">
        <v>42</v>
      </c>
      <c r="K29" s="245">
        <v>1</v>
      </c>
      <c r="L29" s="246" t="str">
        <f>IF(AND('Calcul quantité'!F29="",'Calcul quantité'!F66="",'Calcul quantité'!F103="",'Calcul quantité'!F140="",'Calcul quantité'!F177="",'Calcul quantité'!F214="",'Calcul quantité'!F251="",'Calcul quantité'!F288="",'Calcul quantité'!F325="",'Calcul quantité'!F362=""),"",ROUNDUP(SUM('Calcul quantité'!F29,'Calcul quantité'!F66,'Calcul quantité'!F103,'Calcul quantité'!F140,'Calcul quantité'!F177,'Calcul quantité'!F214,'Calcul quantité'!F251,'Calcul quantité'!F288,'Calcul quantité'!F325,'Calcul quantité'!F362),0))</f>
        <v/>
      </c>
      <c r="M29" s="234" t="str">
        <f>IF(OR(L29="",L29&lt;0),"",$A$58)</f>
        <v/>
      </c>
      <c r="N29" s="234" t="str">
        <f t="shared" si="3"/>
        <v/>
      </c>
      <c r="O29"/>
      <c r="P29" s="244" t="s">
        <v>42</v>
      </c>
      <c r="Q29" s="257">
        <v>1</v>
      </c>
      <c r="R29" s="258" t="str">
        <f>IF(AND('Calcul quantité'!L29="",'Calcul quantité'!L66="",'Calcul quantité'!L103="",'Calcul quantité'!L140="",'Calcul quantité'!L177="",'Calcul quantité'!L214="",'Calcul quantité'!L251="",'Calcul quantité'!L288="",'Calcul quantité'!L325="",'Calcul quantité'!L362=""),"",ROUNDUP(SUM('Calcul quantité'!L29,'Calcul quantité'!L66,'Calcul quantité'!L103,'Calcul quantité'!L140,'Calcul quantité'!L177,'Calcul quantité'!L214,'Calcul quantité'!L251,'Calcul quantité'!L288,'Calcul quantité'!L325,'Calcul quantité'!L362),0))</f>
        <v/>
      </c>
      <c r="S29" s="234" t="str">
        <f t="shared" si="1"/>
        <v/>
      </c>
      <c r="T29" s="234" t="str">
        <f t="shared" si="2"/>
        <v/>
      </c>
    </row>
    <row r="30" spans="1:21">
      <c r="A30" s="223">
        <v>4004192</v>
      </c>
      <c r="B30" s="223" t="s">
        <v>87</v>
      </c>
      <c r="D30" s="226"/>
      <c r="E30" s="226"/>
      <c r="F30" s="180"/>
      <c r="J30" s="244" t="s">
        <v>43</v>
      </c>
      <c r="K30" s="245">
        <v>1</v>
      </c>
      <c r="L30" s="246" t="str">
        <f>IF(AND('Calcul quantité'!F30="",'Calcul quantité'!F67="",'Calcul quantité'!F104="",'Calcul quantité'!F141="",'Calcul quantité'!F178="",'Calcul quantité'!F215="",'Calcul quantité'!F252="",'Calcul quantité'!F289="",'Calcul quantité'!F326="",'Calcul quantité'!F363=""),"",ROUNDUP(SUM('Calcul quantité'!F30,'Calcul quantité'!F67,'Calcul quantité'!F104,'Calcul quantité'!F141,'Calcul quantité'!F178,'Calcul quantité'!F215,'Calcul quantité'!F252,'Calcul quantité'!F289,'Calcul quantité'!F326,'Calcul quantité'!F363),0))</f>
        <v/>
      </c>
      <c r="M30" s="234" t="str">
        <f>IF(OR(L30="",L30&lt;0),"",$A$59)</f>
        <v/>
      </c>
      <c r="N30" s="234" t="str">
        <f t="shared" si="3"/>
        <v/>
      </c>
      <c r="O30"/>
      <c r="P30" s="244" t="s">
        <v>43</v>
      </c>
      <c r="Q30" s="257">
        <v>1</v>
      </c>
      <c r="R30" s="258" t="str">
        <f>IF(AND('Calcul quantité'!L30="",'Calcul quantité'!L67="",'Calcul quantité'!L104="",'Calcul quantité'!L141="",'Calcul quantité'!L178="",'Calcul quantité'!L215="",'Calcul quantité'!L252="",'Calcul quantité'!L289="",'Calcul quantité'!L326="",'Calcul quantité'!L363=""),"",ROUNDUP(SUM('Calcul quantité'!L30,'Calcul quantité'!L67,'Calcul quantité'!L104,'Calcul quantité'!L141,'Calcul quantité'!L178,'Calcul quantité'!L215,'Calcul quantité'!L252,'Calcul quantité'!L289,'Calcul quantité'!L326,'Calcul quantité'!L363),0))</f>
        <v/>
      </c>
      <c r="S30" s="234" t="str">
        <f t="shared" si="1"/>
        <v/>
      </c>
      <c r="T30" s="234" t="str">
        <f t="shared" si="2"/>
        <v/>
      </c>
    </row>
    <row r="31" spans="1:21" ht="15" thickBot="1">
      <c r="A31" s="223">
        <v>4004194</v>
      </c>
      <c r="B31" s="223" t="s">
        <v>88</v>
      </c>
      <c r="D31" s="226"/>
      <c r="E31" s="226"/>
      <c r="F31" s="180"/>
      <c r="J31" s="247" t="s">
        <v>44</v>
      </c>
      <c r="K31" s="248">
        <v>1</v>
      </c>
      <c r="L31" s="249" t="str">
        <f>IF(AND('Calcul quantité'!F31="",'Calcul quantité'!F68="",'Calcul quantité'!F105="",'Calcul quantité'!F142="",'Calcul quantité'!F179="",'Calcul quantité'!F216="",'Calcul quantité'!F253="",'Calcul quantité'!F290="",'Calcul quantité'!F327="",'Calcul quantité'!F364=""),"",ROUNDUP(SUM('Calcul quantité'!F31,'Calcul quantité'!F68,'Calcul quantité'!F105,'Calcul quantité'!F142,'Calcul quantité'!F179,'Calcul quantité'!F216,'Calcul quantité'!F253,'Calcul quantité'!F290,'Calcul quantité'!F327,'Calcul quantité'!F364),0))</f>
        <v/>
      </c>
      <c r="M31" s="234" t="str">
        <f>IF(OR(L31="",L31&lt;0),"",$A$60)</f>
        <v/>
      </c>
      <c r="N31" s="234" t="str">
        <f t="shared" si="3"/>
        <v/>
      </c>
      <c r="O31"/>
      <c r="P31" s="247" t="s">
        <v>44</v>
      </c>
      <c r="Q31" s="259">
        <v>1</v>
      </c>
      <c r="R31" s="260" t="str">
        <f>IF(AND('Calcul quantité'!L31="",'Calcul quantité'!L68="",'Calcul quantité'!L105="",'Calcul quantité'!L142="",'Calcul quantité'!L179="",'Calcul quantité'!L216="",'Calcul quantité'!L253="",'Calcul quantité'!L290="",'Calcul quantité'!L327="",'Calcul quantité'!L364=""),"",ROUNDUP(SUM('Calcul quantité'!L31,'Calcul quantité'!L68,'Calcul quantité'!L105,'Calcul quantité'!L142,'Calcul quantité'!L179,'Calcul quantité'!L216,'Calcul quantité'!L253,'Calcul quantité'!L290,'Calcul quantité'!L327,'Calcul quantité'!L364),0))</f>
        <v/>
      </c>
      <c r="S31" s="234" t="str">
        <f t="shared" si="1"/>
        <v/>
      </c>
      <c r="T31" s="234" t="str">
        <f t="shared" si="2"/>
        <v/>
      </c>
    </row>
    <row r="32" spans="1:21">
      <c r="A32" s="223">
        <v>4006573</v>
      </c>
      <c r="B32" s="223" t="s">
        <v>89</v>
      </c>
      <c r="D32" s="226"/>
      <c r="E32" s="226"/>
      <c r="F32" s="180"/>
      <c r="J32" s="262" t="s">
        <v>45</v>
      </c>
      <c r="K32" s="263">
        <v>1</v>
      </c>
      <c r="L32" s="264">
        <f>IF(AND('Calcul quantité'!F32="",'Calcul quantité'!F69="",'Calcul quantité'!F106="",'Calcul quantité'!F143="",'Calcul quantité'!F180="",'Calcul quantité'!F217="",'Calcul quantité'!F254="",'Calcul quantité'!F291="",'Calcul quantité'!F328="",'Calcul quantité'!F365=""),"",ROUNDUP(SUM('Calcul quantité'!F32,'Calcul quantité'!F69,'Calcul quantité'!F106,'Calcul quantité'!F143,'Calcul quantité'!F180,'Calcul quantité'!F217,'Calcul quantité'!F254,'Calcul quantité'!F291,'Calcul quantité'!F328,'Calcul quantité'!F365),0))</f>
        <v>0</v>
      </c>
      <c r="M32" s="234">
        <f>IF(OR(L32="",L32&lt;0),"",$A$61)</f>
        <v>8741</v>
      </c>
      <c r="N32" s="234" t="str">
        <f t="shared" si="3"/>
        <v>Kit Bride Latérale 30-31 Jorisolar</v>
      </c>
      <c r="O32"/>
      <c r="P32" s="262" t="s">
        <v>45</v>
      </c>
      <c r="Q32" s="271">
        <v>1</v>
      </c>
      <c r="R32" s="272">
        <f>IF(AND('Calcul quantité'!L32="",'Calcul quantité'!L69="",'Calcul quantité'!L106="",'Calcul quantité'!L143="",'Calcul quantité'!L180="",'Calcul quantité'!L217="",'Calcul quantité'!L254="",'Calcul quantité'!L291="",'Calcul quantité'!L328="",'Calcul quantité'!L365=""),"",ROUNDUP(SUM('Calcul quantité'!L32,'Calcul quantité'!L69,'Calcul quantité'!L106,'Calcul quantité'!L143,'Calcul quantité'!L180,'Calcul quantité'!L217,'Calcul quantité'!L254,'Calcul quantité'!L291,'Calcul quantité'!L328,'Calcul quantité'!L365),0))</f>
        <v>0</v>
      </c>
      <c r="S32" s="234">
        <f t="shared" si="1"/>
        <v>8741</v>
      </c>
      <c r="T32" s="234" t="str">
        <f t="shared" si="2"/>
        <v>Kit Bride Latérale 30-31 Jorisolar</v>
      </c>
    </row>
    <row r="33" spans="1:20">
      <c r="A33" s="223">
        <v>4004190</v>
      </c>
      <c r="B33" s="223" t="s">
        <v>90</v>
      </c>
      <c r="D33" s="226"/>
      <c r="E33" s="226"/>
      <c r="F33" s="180"/>
      <c r="J33" s="265" t="s">
        <v>46</v>
      </c>
      <c r="K33" s="266">
        <v>1</v>
      </c>
      <c r="L33" s="267" t="str">
        <f>IF(AND('Calcul quantité'!F33="",'Calcul quantité'!F70="",'Calcul quantité'!F107="",'Calcul quantité'!F144="",'Calcul quantité'!F181="",'Calcul quantité'!F218="",'Calcul quantité'!F255="",'Calcul quantité'!F292="",'Calcul quantité'!F329="",'Calcul quantité'!F366=""),"",ROUNDUP(SUM('Calcul quantité'!F33,'Calcul quantité'!F70,'Calcul quantité'!F107,'Calcul quantité'!F144,'Calcul quantité'!F181,'Calcul quantité'!F218,'Calcul quantité'!F255,'Calcul quantité'!F292,'Calcul quantité'!F329,'Calcul quantité'!F366),0))</f>
        <v/>
      </c>
      <c r="M33" s="234" t="str">
        <f>IF(OR(L33="",L33&lt;0),"",$A$62)</f>
        <v/>
      </c>
      <c r="N33" s="234" t="str">
        <f t="shared" si="3"/>
        <v/>
      </c>
      <c r="O33"/>
      <c r="P33" s="265" t="s">
        <v>46</v>
      </c>
      <c r="Q33" s="273">
        <v>1</v>
      </c>
      <c r="R33" s="274" t="str">
        <f>IF(AND('Calcul quantité'!L33="",'Calcul quantité'!L70="",'Calcul quantité'!L107="",'Calcul quantité'!L144="",'Calcul quantité'!L181="",'Calcul quantité'!L218="",'Calcul quantité'!L255="",'Calcul quantité'!L292="",'Calcul quantité'!L329="",'Calcul quantité'!L366=""),"",ROUNDUP(SUM('Calcul quantité'!L33,'Calcul quantité'!L70,'Calcul quantité'!L107,'Calcul quantité'!L144,'Calcul quantité'!L181,'Calcul quantité'!L218,'Calcul quantité'!L255,'Calcul quantité'!L292,'Calcul quantité'!L329,'Calcul quantité'!L366),0))</f>
        <v/>
      </c>
      <c r="S33" s="234" t="str">
        <f t="shared" si="1"/>
        <v/>
      </c>
      <c r="T33" s="234" t="str">
        <f t="shared" si="2"/>
        <v/>
      </c>
    </row>
    <row r="34" spans="1:20">
      <c r="A34" s="223">
        <v>4005485</v>
      </c>
      <c r="B34" s="223" t="s">
        <v>91</v>
      </c>
      <c r="D34" s="226"/>
      <c r="E34" s="226"/>
      <c r="F34" s="180"/>
      <c r="J34" s="265" t="s">
        <v>47</v>
      </c>
      <c r="K34" s="266">
        <v>1</v>
      </c>
      <c r="L34" s="267">
        <f>IF(AND('Calcul quantité'!F34="",'Calcul quantité'!F71="",'Calcul quantité'!F108="",'Calcul quantité'!F145="",'Calcul quantité'!F182="",'Calcul quantité'!F219="",'Calcul quantité'!F256="",'Calcul quantité'!F293="",'Calcul quantité'!F330="",'Calcul quantité'!F367=""),"",ROUNDUP(SUM('Calcul quantité'!F34,'Calcul quantité'!F71,'Calcul quantité'!F108,'Calcul quantité'!F145,'Calcul quantité'!F182,'Calcul quantité'!F219,'Calcul quantité'!F256,'Calcul quantité'!F293,'Calcul quantité'!F330,'Calcul quantité'!F367),0))</f>
        <v>0</v>
      </c>
      <c r="M34" s="234">
        <f>IF(OR(L34="",L34&lt;0),"",$A$63)</f>
        <v>8743</v>
      </c>
      <c r="N34" s="234" t="str">
        <f t="shared" si="3"/>
        <v>Kit Bride Latérale 34-35 Jorisolar</v>
      </c>
      <c r="O34"/>
      <c r="P34" s="265" t="s">
        <v>47</v>
      </c>
      <c r="Q34" s="273">
        <v>1</v>
      </c>
      <c r="R34" s="274" t="str">
        <f>IF(AND('Calcul quantité'!L34="",'Calcul quantité'!L71="",'Calcul quantité'!L108="",'Calcul quantité'!L145="",'Calcul quantité'!L182="",'Calcul quantité'!L219="",'Calcul quantité'!L256="",'Calcul quantité'!L293="",'Calcul quantité'!L330="",'Calcul quantité'!L367=""),"",ROUNDUP(SUM('Calcul quantité'!L34,'Calcul quantité'!L71,'Calcul quantité'!L108,'Calcul quantité'!L145,'Calcul quantité'!L182,'Calcul quantité'!L219,'Calcul quantité'!L256,'Calcul quantité'!L293,'Calcul quantité'!L330,'Calcul quantité'!L367),0))</f>
        <v/>
      </c>
      <c r="S34" s="234" t="str">
        <f t="shared" si="1"/>
        <v/>
      </c>
      <c r="T34" s="234" t="str">
        <f t="shared" si="2"/>
        <v/>
      </c>
    </row>
    <row r="35" spans="1:20">
      <c r="A35" s="223">
        <v>4004193</v>
      </c>
      <c r="B35" s="223" t="s">
        <v>92</v>
      </c>
      <c r="D35" s="226"/>
      <c r="E35" s="226"/>
      <c r="F35" s="180"/>
      <c r="J35" s="265" t="s">
        <v>48</v>
      </c>
      <c r="K35" s="266">
        <v>1</v>
      </c>
      <c r="L35" s="267" t="str">
        <f>IF(AND('Calcul quantité'!F35="",'Calcul quantité'!F72="",'Calcul quantité'!F109="",'Calcul quantité'!F146="",'Calcul quantité'!F183="",'Calcul quantité'!F220="",'Calcul quantité'!F257="",'Calcul quantité'!F294="",'Calcul quantité'!F331="",'Calcul quantité'!F368=""),"",ROUNDUP(SUM('Calcul quantité'!F35,'Calcul quantité'!F72,'Calcul quantité'!F109,'Calcul quantité'!F146,'Calcul quantité'!F183,'Calcul quantité'!F220,'Calcul quantité'!F257,'Calcul quantité'!F294,'Calcul quantité'!F331,'Calcul quantité'!F368),0))</f>
        <v/>
      </c>
      <c r="M35" s="234" t="str">
        <f>IF(OR(L35="",L35&lt;0),"",$A$64)</f>
        <v/>
      </c>
      <c r="N35" s="234" t="str">
        <f t="shared" si="3"/>
        <v/>
      </c>
      <c r="O35"/>
      <c r="P35" s="265" t="s">
        <v>48</v>
      </c>
      <c r="Q35" s="273">
        <v>1</v>
      </c>
      <c r="R35" s="274" t="str">
        <f>IF(AND('Calcul quantité'!L35="",'Calcul quantité'!L72="",'Calcul quantité'!L109="",'Calcul quantité'!L146="",'Calcul quantité'!L183="",'Calcul quantité'!L220="",'Calcul quantité'!L257="",'Calcul quantité'!L294="",'Calcul quantité'!L331="",'Calcul quantité'!L368=""),"",ROUNDUP(SUM('Calcul quantité'!L35,'Calcul quantité'!L72,'Calcul quantité'!L109,'Calcul quantité'!L146,'Calcul quantité'!L183,'Calcul quantité'!L220,'Calcul quantité'!L257,'Calcul quantité'!L294,'Calcul quantité'!L331,'Calcul quantité'!L368),0))</f>
        <v/>
      </c>
      <c r="S35" s="234" t="str">
        <f t="shared" si="1"/>
        <v/>
      </c>
      <c r="T35" s="234" t="str">
        <f t="shared" si="2"/>
        <v/>
      </c>
    </row>
    <row r="36" spans="1:20">
      <c r="A36" s="223">
        <v>4004195</v>
      </c>
      <c r="B36" s="223" t="s">
        <v>93</v>
      </c>
      <c r="E36" s="39"/>
      <c r="F36" s="180"/>
      <c r="J36" s="265" t="s">
        <v>49</v>
      </c>
      <c r="K36" s="266">
        <v>1</v>
      </c>
      <c r="L36" s="267" t="str">
        <f>IF(AND('Calcul quantité'!F36="",'Calcul quantité'!F73="",'Calcul quantité'!F110="",'Calcul quantité'!F147="",'Calcul quantité'!F184="",'Calcul quantité'!F221="",'Calcul quantité'!F258="",'Calcul quantité'!F295="",'Calcul quantité'!F332="",'Calcul quantité'!F369=""),"",ROUNDUP(SUM('Calcul quantité'!F36,'Calcul quantité'!F73,'Calcul quantité'!F110,'Calcul quantité'!F147,'Calcul quantité'!F184,'Calcul quantité'!F221,'Calcul quantité'!F258,'Calcul quantité'!F295,'Calcul quantité'!F332,'Calcul quantité'!F369),0))</f>
        <v/>
      </c>
      <c r="M36" s="234" t="str">
        <f>IF(OR(L36="",L36&lt;0),"",$A$65)</f>
        <v/>
      </c>
      <c r="N36" s="234" t="str">
        <f t="shared" si="3"/>
        <v/>
      </c>
      <c r="O36"/>
      <c r="P36" s="265" t="s">
        <v>49</v>
      </c>
      <c r="Q36" s="273">
        <v>1</v>
      </c>
      <c r="R36" s="274" t="str">
        <f>IF(AND('Calcul quantité'!L36="",'Calcul quantité'!L73="",'Calcul quantité'!L110="",'Calcul quantité'!L147="",'Calcul quantité'!L184="",'Calcul quantité'!L221="",'Calcul quantité'!L258="",'Calcul quantité'!L295="",'Calcul quantité'!L332="",'Calcul quantité'!L369=""),"",ROUNDUP(SUM('Calcul quantité'!L36,'Calcul quantité'!L73,'Calcul quantité'!L110,'Calcul quantité'!L147,'Calcul quantité'!L184,'Calcul quantité'!L221,'Calcul quantité'!L258,'Calcul quantité'!L295,'Calcul quantité'!L332,'Calcul quantité'!L369),0))</f>
        <v/>
      </c>
      <c r="S36" s="234" t="str">
        <f t="shared" si="1"/>
        <v/>
      </c>
      <c r="T36" s="234" t="str">
        <f t="shared" si="2"/>
        <v/>
      </c>
    </row>
    <row r="37" spans="1:20">
      <c r="A37" s="223">
        <v>4004576</v>
      </c>
      <c r="B37" s="223" t="s">
        <v>94</v>
      </c>
      <c r="E37" s="39"/>
      <c r="F37" s="180"/>
      <c r="J37" s="265" t="s">
        <v>50</v>
      </c>
      <c r="K37" s="266">
        <v>1</v>
      </c>
      <c r="L37" s="267" t="str">
        <f>IF(AND('Calcul quantité'!F37="",'Calcul quantité'!F74="",'Calcul quantité'!F111="",'Calcul quantité'!F148="",'Calcul quantité'!F185="",'Calcul quantité'!F222="",'Calcul quantité'!F259="",'Calcul quantité'!F296="",'Calcul quantité'!F333="",'Calcul quantité'!F370=""),"",ROUNDUP(SUM('Calcul quantité'!F37,'Calcul quantité'!F74,'Calcul quantité'!F111,'Calcul quantité'!F148,'Calcul quantité'!F185,'Calcul quantité'!F222,'Calcul quantité'!F259,'Calcul quantité'!F296,'Calcul quantité'!F333,'Calcul quantité'!F370),0))</f>
        <v/>
      </c>
      <c r="M37" s="234" t="str">
        <f>IF(OR(L37="",L37&lt;0),"",$A$66)</f>
        <v/>
      </c>
      <c r="N37" s="234" t="str">
        <f t="shared" si="3"/>
        <v/>
      </c>
      <c r="O37"/>
      <c r="P37" s="265" t="s">
        <v>50</v>
      </c>
      <c r="Q37" s="273">
        <v>1</v>
      </c>
      <c r="R37" s="274" t="str">
        <f>IF(AND('Calcul quantité'!L37="",'Calcul quantité'!L74="",'Calcul quantité'!L111="",'Calcul quantité'!L148="",'Calcul quantité'!L185="",'Calcul quantité'!L222="",'Calcul quantité'!L259="",'Calcul quantité'!L296="",'Calcul quantité'!L333="",'Calcul quantité'!L370=""),"",ROUNDUP(SUM('Calcul quantité'!L37,'Calcul quantité'!L74,'Calcul quantité'!L111,'Calcul quantité'!L148,'Calcul quantité'!L185,'Calcul quantité'!L222,'Calcul quantité'!L259,'Calcul quantité'!L296,'Calcul quantité'!L333,'Calcul quantité'!L370),0))</f>
        <v/>
      </c>
      <c r="S37" s="234" t="str">
        <f t="shared" si="1"/>
        <v/>
      </c>
      <c r="T37" s="234" t="str">
        <f t="shared" si="2"/>
        <v/>
      </c>
    </row>
    <row r="38" spans="1:20">
      <c r="A38" s="223">
        <v>4003997</v>
      </c>
      <c r="B38" s="223" t="s">
        <v>95</v>
      </c>
      <c r="D38" s="238"/>
      <c r="E38" s="238"/>
      <c r="F38" s="180"/>
      <c r="J38" s="265" t="s">
        <v>51</v>
      </c>
      <c r="K38" s="266">
        <v>1</v>
      </c>
      <c r="L38" s="267" t="str">
        <f>IF(AND('Calcul quantité'!F38="",'Calcul quantité'!F75="",'Calcul quantité'!F112="",'Calcul quantité'!F149="",'Calcul quantité'!F186="",'Calcul quantité'!F223="",'Calcul quantité'!F260="",'Calcul quantité'!F297="",'Calcul quantité'!F334="",'Calcul quantité'!F371=""),"",ROUNDUP(SUM('Calcul quantité'!F38,'Calcul quantité'!F75,'Calcul quantité'!F112,'Calcul quantité'!F149,'Calcul quantité'!F186,'Calcul quantité'!F223,'Calcul quantité'!F260,'Calcul quantité'!F297,'Calcul quantité'!F334,'Calcul quantité'!F371),0))</f>
        <v/>
      </c>
      <c r="M38" s="234" t="str">
        <f>IF(OR(L38="",L38&lt;0),"",$A$67)</f>
        <v/>
      </c>
      <c r="N38" s="234" t="str">
        <f t="shared" si="3"/>
        <v/>
      </c>
      <c r="O38"/>
      <c r="P38" s="265" t="s">
        <v>51</v>
      </c>
      <c r="Q38" s="273">
        <v>1</v>
      </c>
      <c r="R38" s="274" t="str">
        <f>IF(AND('Calcul quantité'!L38="",'Calcul quantité'!L75="",'Calcul quantité'!L112="",'Calcul quantité'!L149="",'Calcul quantité'!L186="",'Calcul quantité'!L223="",'Calcul quantité'!L260="",'Calcul quantité'!L297="",'Calcul quantité'!L334="",'Calcul quantité'!L371=""),"",ROUNDUP(SUM('Calcul quantité'!L38,'Calcul quantité'!L75,'Calcul quantité'!L112,'Calcul quantité'!L149,'Calcul quantité'!L186,'Calcul quantité'!L223,'Calcul quantité'!L260,'Calcul quantité'!L297,'Calcul quantité'!L334,'Calcul quantité'!L371),0))</f>
        <v/>
      </c>
      <c r="S38" s="234" t="str">
        <f t="shared" si="1"/>
        <v/>
      </c>
      <c r="T38" s="234" t="str">
        <f t="shared" si="2"/>
        <v/>
      </c>
    </row>
    <row r="39" spans="1:20">
      <c r="A39" s="223">
        <v>4004191</v>
      </c>
      <c r="B39" s="223" t="s">
        <v>96</v>
      </c>
      <c r="D39" s="226"/>
      <c r="E39" s="226"/>
      <c r="F39" s="180"/>
      <c r="J39" s="265" t="s">
        <v>52</v>
      </c>
      <c r="K39" s="266">
        <v>1</v>
      </c>
      <c r="L39" s="267" t="str">
        <f>IF(AND('Calcul quantité'!F39="",'Calcul quantité'!F76="",'Calcul quantité'!F113="",'Calcul quantité'!F150="",'Calcul quantité'!F187="",'Calcul quantité'!F224="",'Calcul quantité'!F261="",'Calcul quantité'!F298="",'Calcul quantité'!F335="",'Calcul quantité'!F372=""),"",ROUNDUP(SUM('Calcul quantité'!F39,'Calcul quantité'!F76,'Calcul quantité'!F113,'Calcul quantité'!F150,'Calcul quantité'!F187,'Calcul quantité'!F224,'Calcul quantité'!F261,'Calcul quantité'!F298,'Calcul quantité'!F335,'Calcul quantité'!F372),0))</f>
        <v/>
      </c>
      <c r="M39" s="234" t="str">
        <f>IF(OR(L39="",L39&lt;0),"",$A$68)</f>
        <v/>
      </c>
      <c r="N39" s="234" t="str">
        <f t="shared" si="3"/>
        <v/>
      </c>
      <c r="O39"/>
      <c r="P39" s="265" t="s">
        <v>52</v>
      </c>
      <c r="Q39" s="273">
        <v>1</v>
      </c>
      <c r="R39" s="274" t="str">
        <f>IF(AND('Calcul quantité'!L39="",'Calcul quantité'!L76="",'Calcul quantité'!L113="",'Calcul quantité'!L150="",'Calcul quantité'!L187="",'Calcul quantité'!L224="",'Calcul quantité'!L261="",'Calcul quantité'!L298="",'Calcul quantité'!L335="",'Calcul quantité'!L372=""),"",ROUNDUP(SUM('Calcul quantité'!L39,'Calcul quantité'!L76,'Calcul quantité'!L113,'Calcul quantité'!L150,'Calcul quantité'!L187,'Calcul quantité'!L224,'Calcul quantité'!L261,'Calcul quantité'!L298,'Calcul quantité'!L335,'Calcul quantité'!L372),0))</f>
        <v/>
      </c>
      <c r="S39" s="234" t="str">
        <f t="shared" si="1"/>
        <v/>
      </c>
      <c r="T39" s="234" t="str">
        <f t="shared" si="2"/>
        <v/>
      </c>
    </row>
    <row r="40" spans="1:20" ht="15" thickBot="1">
      <c r="A40" s="223">
        <v>4005064</v>
      </c>
      <c r="B40" s="223" t="s">
        <v>97</v>
      </c>
      <c r="D40" s="226"/>
      <c r="E40" s="226"/>
      <c r="F40" s="19"/>
      <c r="J40" s="268" t="s">
        <v>53</v>
      </c>
      <c r="K40" s="269">
        <v>1</v>
      </c>
      <c r="L40" s="270" t="str">
        <f>IF(AND('Calcul quantité'!F40="",'Calcul quantité'!F77="",'Calcul quantité'!F114="",'Calcul quantité'!F151="",'Calcul quantité'!F188="",'Calcul quantité'!F225="",'Calcul quantité'!F262="",'Calcul quantité'!F299="",'Calcul quantité'!F336="",'Calcul quantité'!F373=""),"",ROUNDUP(SUM('Calcul quantité'!F40,'Calcul quantité'!F77,'Calcul quantité'!F114,'Calcul quantité'!F151,'Calcul quantité'!F188,'Calcul quantité'!F225,'Calcul quantité'!F262,'Calcul quantité'!F299,'Calcul quantité'!F336,'Calcul quantité'!F373),0))</f>
        <v/>
      </c>
      <c r="M40" s="234" t="str">
        <f>IF(OR(L40="",L40&lt;0),"",$A$69)</f>
        <v/>
      </c>
      <c r="N40" s="234" t="str">
        <f t="shared" si="3"/>
        <v/>
      </c>
      <c r="O40"/>
      <c r="P40" s="268" t="s">
        <v>53</v>
      </c>
      <c r="Q40" s="275">
        <v>1</v>
      </c>
      <c r="R40" s="276" t="str">
        <f>IF(AND('Calcul quantité'!L40="",'Calcul quantité'!L77="",'Calcul quantité'!L114="",'Calcul quantité'!L151="",'Calcul quantité'!L188="",'Calcul quantité'!L225="",'Calcul quantité'!L262="",'Calcul quantité'!L299="",'Calcul quantité'!L336="",'Calcul quantité'!L373=""),"",ROUNDUP(SUM('Calcul quantité'!L40,'Calcul quantité'!L77,'Calcul quantité'!L114,'Calcul quantité'!L151,'Calcul quantité'!L188,'Calcul quantité'!L225,'Calcul quantité'!L262,'Calcul quantité'!L299,'Calcul quantité'!L336,'Calcul quantité'!L373),0))</f>
        <v/>
      </c>
      <c r="S40" s="234" t="str">
        <f t="shared" si="1"/>
        <v/>
      </c>
      <c r="T40" s="234" t="str">
        <f t="shared" si="2"/>
        <v/>
      </c>
    </row>
    <row r="41" spans="1:20" ht="15" thickBot="1">
      <c r="A41" s="223">
        <v>4004068</v>
      </c>
      <c r="B41" s="223" t="s">
        <v>98</v>
      </c>
      <c r="D41" s="226"/>
      <c r="E41" s="226"/>
      <c r="F41" s="19"/>
      <c r="J41" s="291" t="s">
        <v>105</v>
      </c>
      <c r="K41" s="292">
        <v>1</v>
      </c>
      <c r="L41" s="293">
        <f>IF(AND('Calcul quantité'!F41="",'Calcul quantité'!F78="",'Calcul quantité'!F115="",'Calcul quantité'!F152="",'Calcul quantité'!F189="",'Calcul quantité'!F226="",'Calcul quantité'!F263="",'Calcul quantité'!F300="",'Calcul quantité'!F337="",'Calcul quantité'!F374=""),"",ROUNDUP(SUM('Calcul quantité'!F41,'Calcul quantité'!F78,'Calcul quantité'!F115,'Calcul quantité'!F152,'Calcul quantité'!F189,'Calcul quantité'!F226,'Calcul quantité'!F263,'Calcul quantité'!F300,'Calcul quantité'!F337,'Calcul quantité'!F374),0))</f>
        <v>0</v>
      </c>
      <c r="M41" s="234">
        <f>IF(OR(L41="",L41&lt;0),"",$A$48)</f>
        <v>4006648</v>
      </c>
      <c r="N41" s="234" t="str">
        <f>IF(M41="","",$B$48)</f>
        <v>Clip de mise à la terre Rayvolt</v>
      </c>
      <c r="P41" s="294" t="s">
        <v>105</v>
      </c>
      <c r="Q41" s="295">
        <v>1</v>
      </c>
      <c r="R41" s="296">
        <f>IF(AND('Calcul quantité'!L41="",'Calcul quantité'!L78="",'Calcul quantité'!L115="",'Calcul quantité'!L152="",'Calcul quantité'!L189="",'Calcul quantité'!L226="",'Calcul quantité'!L263="",'Calcul quantité'!L300="",'Calcul quantité'!L337="",'Calcul quantité'!L374=""),"",ROUNDUP(SUM('Calcul quantité'!L41,'Calcul quantité'!L78,'Calcul quantité'!L115,'Calcul quantité'!L152,'Calcul quantité'!L189,'Calcul quantité'!L226,'Calcul quantité'!L263,'Calcul quantité'!L300,'Calcul quantité'!L337,'Calcul quantité'!L374),0))</f>
        <v>0</v>
      </c>
      <c r="S41" s="234">
        <f>IF(OR(R41="",R41&lt;0),"",$A$48)</f>
        <v>4006648</v>
      </c>
      <c r="T41" s="234" t="str">
        <f>IF(S41="","",$B$48)</f>
        <v>Clip de mise à la terre Rayvolt</v>
      </c>
    </row>
    <row r="42" spans="1:20">
      <c r="A42" s="223">
        <v>4005065</v>
      </c>
      <c r="B42" s="223" t="s">
        <v>99</v>
      </c>
      <c r="D42" s="226"/>
      <c r="E42" s="226"/>
      <c r="F42" s="19"/>
      <c r="J42" s="226"/>
      <c r="K42" s="226"/>
      <c r="L42" s="19"/>
      <c r="M42"/>
      <c r="N42"/>
      <c r="S42"/>
      <c r="T42"/>
    </row>
    <row r="43" spans="1:20">
      <c r="A43" s="223">
        <v>4004249</v>
      </c>
      <c r="B43" s="223" t="s">
        <v>100</v>
      </c>
      <c r="D43" s="226"/>
      <c r="E43" s="226"/>
      <c r="F43" s="19"/>
      <c r="J43" s="226"/>
      <c r="K43" s="226"/>
      <c r="L43" s="19"/>
      <c r="M43"/>
      <c r="N43"/>
      <c r="S43"/>
      <c r="T43"/>
    </row>
    <row r="44" spans="1:20">
      <c r="A44" s="223">
        <v>4007561</v>
      </c>
      <c r="B44" s="223" t="s">
        <v>101</v>
      </c>
    </row>
    <row r="45" spans="1:20">
      <c r="A45" s="223">
        <v>4007562</v>
      </c>
      <c r="B45" s="223" t="s">
        <v>102</v>
      </c>
    </row>
    <row r="46" spans="1:20">
      <c r="A46" s="223">
        <v>4007563</v>
      </c>
      <c r="B46" s="223" t="s">
        <v>103</v>
      </c>
    </row>
    <row r="47" spans="1:20">
      <c r="A47" s="223">
        <v>999999908</v>
      </c>
      <c r="B47" s="223" t="s">
        <v>104</v>
      </c>
    </row>
    <row r="48" spans="1:20">
      <c r="A48" s="223">
        <v>4006648</v>
      </c>
      <c r="B48" s="223" t="s">
        <v>105</v>
      </c>
    </row>
    <row r="49" spans="1:13">
      <c r="A49" s="223">
        <v>4004580</v>
      </c>
      <c r="B49" s="223" t="s">
        <v>106</v>
      </c>
    </row>
    <row r="50" spans="1:13">
      <c r="A50" s="223">
        <v>16739</v>
      </c>
      <c r="B50" s="223" t="s">
        <v>271</v>
      </c>
    </row>
    <row r="51" spans="1:13">
      <c r="A51" s="223">
        <v>8723</v>
      </c>
      <c r="B51" s="223" t="s">
        <v>263</v>
      </c>
    </row>
    <row r="52" spans="1:13">
      <c r="A52" s="223">
        <v>8724</v>
      </c>
      <c r="B52" s="223" t="s">
        <v>264</v>
      </c>
    </row>
    <row r="53" spans="1:13">
      <c r="A53" s="223">
        <v>8590</v>
      </c>
      <c r="B53" s="223" t="s">
        <v>265</v>
      </c>
    </row>
    <row r="54" spans="1:13">
      <c r="A54" s="223">
        <v>8725</v>
      </c>
      <c r="B54" s="223" t="s">
        <v>266</v>
      </c>
    </row>
    <row r="55" spans="1:13">
      <c r="A55" s="223">
        <v>8726</v>
      </c>
      <c r="B55" s="223" t="s">
        <v>267</v>
      </c>
    </row>
    <row r="56" spans="1:13">
      <c r="A56" s="223">
        <v>8727</v>
      </c>
      <c r="B56" s="223" t="s">
        <v>40</v>
      </c>
      <c r="D56" s="314"/>
    </row>
    <row r="57" spans="1:13">
      <c r="A57" s="223">
        <v>8728</v>
      </c>
      <c r="B57" s="223" t="s">
        <v>41</v>
      </c>
      <c r="D57" s="314"/>
    </row>
    <row r="58" spans="1:13">
      <c r="A58" s="223">
        <v>8591</v>
      </c>
      <c r="B58" s="223" t="s">
        <v>42</v>
      </c>
      <c r="D58" s="314"/>
    </row>
    <row r="59" spans="1:13">
      <c r="A59" s="223">
        <v>8729</v>
      </c>
      <c r="B59" s="223" t="s">
        <v>43</v>
      </c>
    </row>
    <row r="60" spans="1:13">
      <c r="A60" s="223">
        <v>8740</v>
      </c>
      <c r="B60" s="223" t="s">
        <v>44</v>
      </c>
      <c r="M60" s="107"/>
    </row>
    <row r="61" spans="1:13">
      <c r="A61" s="223">
        <v>8741</v>
      </c>
      <c r="B61" s="223" t="s">
        <v>45</v>
      </c>
    </row>
    <row r="62" spans="1:13">
      <c r="A62" s="223">
        <v>8742</v>
      </c>
      <c r="B62" s="223" t="s">
        <v>46</v>
      </c>
    </row>
    <row r="63" spans="1:13">
      <c r="A63" s="223">
        <v>8743</v>
      </c>
      <c r="B63" s="223" t="s">
        <v>47</v>
      </c>
    </row>
    <row r="64" spans="1:13">
      <c r="A64" s="223">
        <v>8744</v>
      </c>
      <c r="B64" s="223" t="s">
        <v>48</v>
      </c>
      <c r="M64" s="106"/>
    </row>
    <row r="65" spans="1:20">
      <c r="A65" s="223">
        <v>8745</v>
      </c>
      <c r="B65" s="223" t="s">
        <v>49</v>
      </c>
    </row>
    <row r="66" spans="1:20">
      <c r="A66" s="223">
        <v>8592</v>
      </c>
      <c r="B66" s="223" t="s">
        <v>50</v>
      </c>
      <c r="M66" s="106"/>
    </row>
    <row r="67" spans="1:20">
      <c r="A67" s="223">
        <v>8746</v>
      </c>
      <c r="B67" s="223" t="s">
        <v>51</v>
      </c>
    </row>
    <row r="68" spans="1:20">
      <c r="A68" s="223">
        <v>8747</v>
      </c>
      <c r="B68" s="223" t="s">
        <v>52</v>
      </c>
    </row>
    <row r="69" spans="1:20">
      <c r="A69" s="223">
        <v>8748</v>
      </c>
      <c r="B69" s="223" t="s">
        <v>53</v>
      </c>
    </row>
    <row r="70" spans="1:20">
      <c r="A70" s="223">
        <v>4004061</v>
      </c>
      <c r="B70" s="223" t="s">
        <v>59</v>
      </c>
    </row>
    <row r="71" spans="1:20">
      <c r="A71" s="223">
        <v>4004060</v>
      </c>
      <c r="B71" s="223" t="s">
        <v>60</v>
      </c>
    </row>
    <row r="74" spans="1:20" s="48" customFormat="1" ht="30.6">
      <c r="A74" s="224" t="s">
        <v>107</v>
      </c>
      <c r="B74" s="225" t="s">
        <v>15</v>
      </c>
      <c r="F74" s="47"/>
      <c r="J74" s="47"/>
      <c r="K74" s="47"/>
      <c r="L74" s="47"/>
      <c r="M74" s="47"/>
      <c r="N74" s="47"/>
      <c r="O74" s="47"/>
      <c r="S74" s="47"/>
      <c r="T74" s="47"/>
    </row>
    <row r="75" spans="1:20">
      <c r="A75" s="223" t="s">
        <v>108</v>
      </c>
      <c r="B75" s="223" t="s">
        <v>109</v>
      </c>
    </row>
    <row r="76" spans="1:20">
      <c r="A76" s="223" t="s">
        <v>110</v>
      </c>
      <c r="B76" s="223" t="s">
        <v>111</v>
      </c>
    </row>
    <row r="77" spans="1:20">
      <c r="A77" s="223" t="s">
        <v>112</v>
      </c>
      <c r="B77" s="223" t="s">
        <v>113</v>
      </c>
    </row>
    <row r="78" spans="1:20">
      <c r="A78" s="223" t="s">
        <v>114</v>
      </c>
      <c r="B78" s="223" t="s">
        <v>115</v>
      </c>
    </row>
    <row r="79" spans="1:20">
      <c r="A79" s="223" t="s">
        <v>116</v>
      </c>
      <c r="B79" s="223" t="s">
        <v>117</v>
      </c>
    </row>
    <row r="80" spans="1:20">
      <c r="A80" s="223" t="s">
        <v>118</v>
      </c>
      <c r="B80" s="223"/>
    </row>
    <row r="81" spans="1:20">
      <c r="B81" s="39"/>
    </row>
    <row r="82" spans="1:20">
      <c r="B82" s="39"/>
    </row>
    <row r="83" spans="1:20" s="48" customFormat="1" ht="30.6">
      <c r="A83" s="224" t="s">
        <v>119</v>
      </c>
      <c r="B83" s="225" t="s">
        <v>15</v>
      </c>
      <c r="F83" s="47"/>
      <c r="J83" s="47"/>
      <c r="K83" s="47"/>
      <c r="L83" s="47"/>
      <c r="M83" s="47"/>
      <c r="N83" s="47"/>
      <c r="O83" s="47"/>
      <c r="S83" s="47"/>
      <c r="T83" s="47"/>
    </row>
    <row r="84" spans="1:20">
      <c r="A84" s="223" t="s">
        <v>120</v>
      </c>
      <c r="B84" s="223" t="s">
        <v>121</v>
      </c>
    </row>
    <row r="85" spans="1:20">
      <c r="A85" s="223" t="s">
        <v>122</v>
      </c>
      <c r="B85" s="223" t="s">
        <v>123</v>
      </c>
    </row>
    <row r="86" spans="1:20">
      <c r="A86" s="223" t="s">
        <v>124</v>
      </c>
      <c r="B86" s="223">
        <v>50</v>
      </c>
    </row>
    <row r="88" spans="1:20">
      <c r="A88">
        <v>30</v>
      </c>
      <c r="B88" s="226" t="s">
        <v>33</v>
      </c>
    </row>
    <row r="89" spans="1:20">
      <c r="A89">
        <v>31</v>
      </c>
      <c r="B89" s="226" t="s">
        <v>65</v>
      </c>
    </row>
    <row r="90" spans="1:20">
      <c r="A90">
        <v>32</v>
      </c>
    </row>
    <row r="91" spans="1:20">
      <c r="A91">
        <v>33</v>
      </c>
      <c r="B91" s="203">
        <v>0</v>
      </c>
    </row>
    <row r="92" spans="1:20">
      <c r="A92">
        <v>34</v>
      </c>
      <c r="B92" s="204">
        <v>5.0000000000000001E-3</v>
      </c>
    </row>
    <row r="93" spans="1:20">
      <c r="A93">
        <v>35</v>
      </c>
      <c r="B93" s="203">
        <v>0.01</v>
      </c>
    </row>
    <row r="94" spans="1:20">
      <c r="A94">
        <v>36</v>
      </c>
      <c r="B94" s="203">
        <v>0.02</v>
      </c>
    </row>
    <row r="95" spans="1:20">
      <c r="A95">
        <v>37</v>
      </c>
      <c r="B95" s="203">
        <v>0.03</v>
      </c>
    </row>
    <row r="96" spans="1:20">
      <c r="A96">
        <v>38</v>
      </c>
      <c r="B96" s="203">
        <v>0.04</v>
      </c>
    </row>
    <row r="97" spans="1:2">
      <c r="A97">
        <v>39</v>
      </c>
      <c r="B97" s="203">
        <v>0.05</v>
      </c>
    </row>
    <row r="98" spans="1:2">
      <c r="A98">
        <v>40</v>
      </c>
    </row>
    <row r="99" spans="1:2">
      <c r="A99">
        <v>41</v>
      </c>
    </row>
    <row r="100" spans="1:2">
      <c r="A100">
        <v>42</v>
      </c>
    </row>
    <row r="101" spans="1:2">
      <c r="A101">
        <v>43</v>
      </c>
    </row>
    <row r="102" spans="1:2">
      <c r="A102">
        <v>44</v>
      </c>
    </row>
    <row r="103" spans="1:2">
      <c r="A103">
        <v>45</v>
      </c>
    </row>
    <row r="104" spans="1:2">
      <c r="A104">
        <v>46</v>
      </c>
    </row>
    <row r="105" spans="1:2">
      <c r="A105">
        <v>47</v>
      </c>
    </row>
    <row r="106" spans="1:2">
      <c r="A106">
        <v>48</v>
      </c>
    </row>
    <row r="107" spans="1:2">
      <c r="A107">
        <v>49</v>
      </c>
    </row>
    <row r="108" spans="1:2">
      <c r="A108">
        <v>50</v>
      </c>
    </row>
  </sheetData>
  <protectedRanges>
    <protectedRange algorithmName="SHA-512" hashValue="R9mbo1ohIleuOIrQr9oGMFh7joIZLVVRQ2c/m2avQ8/OQeZrmZE1HemOGqXm+orrswg6dQL7PHkzck28VJTwLw==" saltValue="rFR6p+CYPAh5/u+86XeXWw==" spinCount="100000" sqref="P7:Q12" name="Plage2"/>
    <protectedRange algorithmName="SHA-512" hashValue="L3yXm/+zYPtFme7ETMer3IkE6jLIMsnT9GDvUt7NSbpPnOmMTEiEzv2URiRJ92gtFWy6ANF6LjGM53H3merqlw==" saltValue="eHpjqz7zJp0CWD0VS4cOHQ==" spinCount="100000" sqref="R17" name="Plage1"/>
    <protectedRange algorithmName="SHA-512" hashValue="L3yXm/+zYPtFme7ETMer3IkE6jLIMsnT9GDvUt7NSbpPnOmMTEiEzv2URiRJ92gtFWy6ANF6LjGM53H3merqlw==" saltValue="eHpjqz7zJp0CWD0VS4cOHQ==" spinCount="100000" sqref="Q23 P17:Q20" name="Plage1_2_1"/>
  </protectedRanges>
  <dataConsolidate/>
  <mergeCells count="27">
    <mergeCell ref="P9:Q9"/>
    <mergeCell ref="J2:L3"/>
    <mergeCell ref="P2:R3"/>
    <mergeCell ref="P10:Q10"/>
    <mergeCell ref="P11:Q11"/>
    <mergeCell ref="D7:E7"/>
    <mergeCell ref="J7:K7"/>
    <mergeCell ref="D8:E8"/>
    <mergeCell ref="J8:K8"/>
    <mergeCell ref="P7:Q7"/>
    <mergeCell ref="P8:Q8"/>
    <mergeCell ref="D9:E9"/>
    <mergeCell ref="J9:K9"/>
    <mergeCell ref="D10:E10"/>
    <mergeCell ref="J10:K10"/>
    <mergeCell ref="D11:E11"/>
    <mergeCell ref="J11:K11"/>
    <mergeCell ref="D14:E14"/>
    <mergeCell ref="J14:K14"/>
    <mergeCell ref="P14:Q14"/>
    <mergeCell ref="P15:Q15"/>
    <mergeCell ref="D12:E12"/>
    <mergeCell ref="J12:K12"/>
    <mergeCell ref="D13:E13"/>
    <mergeCell ref="J13:K13"/>
    <mergeCell ref="P12:Q12"/>
    <mergeCell ref="P13:Q13"/>
  </mergeCells>
  <dataValidations count="3">
    <dataValidation type="list" allowBlank="1" showInputMessage="1" showErrorMessage="1" sqref="L12 R12" xr:uid="{4D62B7AA-43BC-4A67-822D-05CF39482A9C}">
      <formula1>$B$88:$B$89</formula1>
    </dataValidation>
    <dataValidation type="list" allowBlank="1" showInputMessage="1" showErrorMessage="1" sqref="L13 R13" xr:uid="{FD4E041E-DD62-4A8A-8EAC-28FA4FB3EBFE}">
      <formula1>$B$90:$B$98</formula1>
    </dataValidation>
    <dataValidation type="list" allowBlank="1" showInputMessage="1" showErrorMessage="1" sqref="L11 R11" xr:uid="{C90665BC-1436-4A1E-8F45-82B1219A4D09}">
      <formula1>$A$87:$A$108</formula1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DropDown="1" showInputMessage="1" showErrorMessage="1" xr:uid="{FFB0832A-4701-4F2A-AC68-AA1D87BD9609}">
          <x14:formula1>
            <xm:f>'C:\Users\Besnarj\Desktop\Jérémy\Projet Visuel Client\[Fichier Calcul Devis JI Energy.xlsx]systeme'!#REF!</xm:f>
          </x14:formula1>
          <xm:sqref>F14 L14</xm:sqref>
        </x14:dataValidation>
        <x14:dataValidation type="list" allowBlank="1" showInputMessage="1" showErrorMessage="1" xr:uid="{DFCFD723-8097-42FC-BF2A-FC020EE0A822}">
          <x14:formula1>
            <xm:f>'C:\Users\Besnarj\Desktop\Jérémy\Projet Visuel Client\[Fichier Calcul Devis JI Energy.xlsx]systeme'!#REF!</xm:f>
          </x14:formula1>
          <xm:sqref>F11:F13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>
    <pageSetUpPr fitToPage="1"/>
  </sheetPr>
  <dimension ref="A1:V96"/>
  <sheetViews>
    <sheetView topLeftCell="C1" zoomScale="50" zoomScaleNormal="50" workbookViewId="0">
      <selection activeCell="R9" sqref="R9"/>
    </sheetView>
  </sheetViews>
  <sheetFormatPr baseColWidth="10" defaultRowHeight="14.4"/>
  <cols>
    <col min="1" max="1" width="51.44140625" hidden="1" customWidth="1"/>
    <col min="2" max="2" width="4" hidden="1" customWidth="1"/>
    <col min="3" max="3" width="62.44140625" customWidth="1"/>
    <col min="4" max="4" width="16.77734375" customWidth="1"/>
    <col min="5" max="5" width="15.77734375" customWidth="1"/>
    <col min="6" max="6" width="13.77734375" customWidth="1"/>
    <col min="7" max="7" width="13.21875" customWidth="1"/>
    <col min="8" max="8" width="15.77734375" bestFit="1" customWidth="1"/>
    <col min="9" max="9" width="16" customWidth="1"/>
    <col min="10" max="10" width="13.21875" customWidth="1"/>
    <col min="11" max="11" width="18.21875" customWidth="1"/>
    <col min="12" max="12" width="3.21875" customWidth="1"/>
    <col min="13" max="13" width="18.5546875" customWidth="1"/>
    <col min="19" max="19" width="11.5546875" customWidth="1"/>
  </cols>
  <sheetData>
    <row r="1" spans="1:22" ht="33" customHeight="1" thickTop="1" thickBot="1">
      <c r="B1" s="370" t="s">
        <v>183</v>
      </c>
      <c r="C1" s="371"/>
      <c r="D1" s="371"/>
      <c r="E1" s="371"/>
      <c r="F1" s="371"/>
      <c r="G1" s="371"/>
      <c r="H1" s="371"/>
      <c r="I1" s="371"/>
      <c r="J1" s="371"/>
      <c r="K1" s="371"/>
      <c r="L1" s="372"/>
    </row>
    <row r="2" spans="1:22" ht="15.6" thickTop="1" thickBot="1"/>
    <row r="3" spans="1:22" ht="14.25" customHeight="1" thickTop="1" thickBot="1">
      <c r="B3" s="29"/>
      <c r="C3" s="30"/>
      <c r="D3" s="30"/>
      <c r="E3" s="30"/>
      <c r="F3" s="30"/>
      <c r="G3" s="30"/>
      <c r="H3" s="30"/>
      <c r="I3" s="30"/>
      <c r="J3" s="30"/>
      <c r="K3" s="30"/>
      <c r="L3" s="52"/>
      <c r="M3" s="22"/>
    </row>
    <row r="4" spans="1:22" ht="40.5" customHeight="1" thickTop="1" thickBot="1">
      <c r="B4" s="25"/>
      <c r="C4" s="93" t="s">
        <v>125</v>
      </c>
      <c r="D4" s="382"/>
      <c r="E4" s="383"/>
      <c r="F4" s="383"/>
      <c r="G4" s="383"/>
      <c r="H4" s="383"/>
      <c r="I4" s="383"/>
      <c r="J4" s="383"/>
      <c r="K4" s="384"/>
      <c r="M4" s="22"/>
      <c r="N4" s="21"/>
    </row>
    <row r="5" spans="1:22" ht="24" thickTop="1" thickBot="1">
      <c r="B5" s="25"/>
      <c r="C5" s="54" t="s">
        <v>143</v>
      </c>
      <c r="D5" s="373"/>
      <c r="E5" s="374"/>
      <c r="F5" s="374"/>
      <c r="G5" s="374"/>
      <c r="H5" s="374"/>
      <c r="I5" s="374"/>
      <c r="J5" s="374"/>
      <c r="K5" s="375"/>
      <c r="M5" s="22"/>
      <c r="N5" s="21"/>
    </row>
    <row r="6" spans="1:22" ht="24" thickTop="1" thickBot="1">
      <c r="B6" s="25"/>
      <c r="C6" s="54" t="s">
        <v>144</v>
      </c>
      <c r="D6" s="373"/>
      <c r="E6" s="374"/>
      <c r="F6" s="374"/>
      <c r="G6" s="374"/>
      <c r="H6" s="374"/>
      <c r="I6" s="374"/>
      <c r="J6" s="374"/>
      <c r="K6" s="375"/>
      <c r="M6" s="22"/>
      <c r="N6" s="21"/>
    </row>
    <row r="7" spans="1:22" ht="24" thickTop="1" thickBot="1">
      <c r="B7" s="25"/>
      <c r="C7" s="54" t="s">
        <v>145</v>
      </c>
      <c r="D7" s="373"/>
      <c r="E7" s="374"/>
      <c r="F7" s="374"/>
      <c r="G7" s="374"/>
      <c r="H7" s="374"/>
      <c r="I7" s="374"/>
      <c r="J7" s="374"/>
      <c r="K7" s="375"/>
      <c r="M7" s="22"/>
      <c r="N7" s="21"/>
    </row>
    <row r="8" spans="1:22" ht="24" thickTop="1" thickBot="1">
      <c r="A8" t="s">
        <v>154</v>
      </c>
      <c r="B8" s="25"/>
      <c r="C8" s="90" t="s">
        <v>181</v>
      </c>
      <c r="D8" s="376" t="str">
        <f>IF(AND(D5="",D6=""),"",D5*D6)</f>
        <v/>
      </c>
      <c r="E8" s="377"/>
      <c r="F8" s="377"/>
      <c r="G8" s="377"/>
      <c r="H8" s="377"/>
      <c r="I8" s="377"/>
      <c r="J8" s="377"/>
      <c r="K8" s="378"/>
      <c r="M8" s="22"/>
      <c r="N8" s="21"/>
    </row>
    <row r="9" spans="1:22" ht="27.75" customHeight="1" thickTop="1" thickBot="1">
      <c r="A9" t="s">
        <v>155</v>
      </c>
      <c r="B9" s="25"/>
      <c r="C9" s="57" t="s">
        <v>141</v>
      </c>
      <c r="D9" s="379"/>
      <c r="E9" s="380"/>
      <c r="F9" s="380"/>
      <c r="G9" s="380"/>
      <c r="H9" s="380"/>
      <c r="I9" s="380"/>
      <c r="J9" s="380"/>
      <c r="K9" s="381"/>
      <c r="M9" s="22"/>
      <c r="N9" s="21"/>
      <c r="S9" s="44"/>
      <c r="T9" s="45"/>
      <c r="U9" s="46"/>
      <c r="V9" s="46"/>
    </row>
    <row r="10" spans="1:22" ht="24.75" customHeight="1" thickTop="1" thickBot="1">
      <c r="B10" s="25"/>
      <c r="C10" s="54" t="s">
        <v>182</v>
      </c>
      <c r="D10" s="299"/>
      <c r="E10" s="392" t="s">
        <v>152</v>
      </c>
      <c r="F10" s="390"/>
      <c r="G10" s="390"/>
      <c r="H10" s="390"/>
      <c r="I10" s="391"/>
      <c r="J10" s="390"/>
      <c r="K10" s="391"/>
      <c r="L10" s="55"/>
      <c r="N10" s="21"/>
      <c r="S10" s="44"/>
      <c r="T10" s="45"/>
      <c r="U10" s="46"/>
      <c r="V10" s="46"/>
    </row>
    <row r="11" spans="1:22" ht="18.600000000000001" thickTop="1" thickBot="1">
      <c r="B11" s="25"/>
      <c r="C11" s="56" t="s">
        <v>126</v>
      </c>
      <c r="D11" s="110" t="s">
        <v>127</v>
      </c>
      <c r="E11" s="111" t="s">
        <v>130</v>
      </c>
      <c r="F11" s="387" t="s">
        <v>151</v>
      </c>
      <c r="G11" s="388"/>
      <c r="H11" s="389"/>
      <c r="I11" s="394"/>
      <c r="J11" s="395"/>
      <c r="K11" s="396"/>
      <c r="L11" s="55"/>
      <c r="S11" s="44"/>
      <c r="T11" s="45"/>
      <c r="U11" s="45"/>
      <c r="V11" s="45"/>
    </row>
    <row r="12" spans="1:22" ht="18.600000000000001" thickTop="1" thickBot="1">
      <c r="B12" s="25"/>
      <c r="C12" s="385" t="s">
        <v>163</v>
      </c>
      <c r="D12" s="386"/>
      <c r="E12" s="386"/>
      <c r="F12" s="157" t="s">
        <v>211</v>
      </c>
      <c r="G12" s="112" t="s">
        <v>212</v>
      </c>
      <c r="H12" s="152" t="s">
        <v>213</v>
      </c>
      <c r="I12" s="148" t="s">
        <v>216</v>
      </c>
      <c r="J12" s="133" t="s">
        <v>223</v>
      </c>
      <c r="K12" s="131" t="s">
        <v>217</v>
      </c>
      <c r="L12" s="58"/>
      <c r="S12" s="44"/>
      <c r="T12" s="45"/>
      <c r="U12" s="45"/>
      <c r="V12" s="45"/>
    </row>
    <row r="13" spans="1:22" ht="19.2" thickTop="1" thickBot="1">
      <c r="A13" t="s">
        <v>149</v>
      </c>
      <c r="B13" s="25"/>
      <c r="C13" s="113"/>
      <c r="D13" s="114"/>
      <c r="E13" s="115"/>
      <c r="F13" s="160"/>
      <c r="G13" s="115"/>
      <c r="H13" s="153"/>
      <c r="I13" s="149" t="str">
        <f>IF(OR(D13="",E13=""),"",(D13*E13)/1000)</f>
        <v/>
      </c>
      <c r="J13" s="300"/>
      <c r="K13" s="134" t="str">
        <f>IF(OR(I13="",J13=""),"",I13*J13)</f>
        <v/>
      </c>
      <c r="L13" s="23"/>
      <c r="N13" s="20"/>
      <c r="S13" s="44"/>
      <c r="T13" s="45"/>
      <c r="U13" s="45"/>
      <c r="V13" s="45"/>
    </row>
    <row r="14" spans="1:22" ht="18.600000000000001" thickBot="1">
      <c r="A14" t="s">
        <v>245</v>
      </c>
      <c r="B14" s="25"/>
      <c r="C14" s="116"/>
      <c r="D14" s="117"/>
      <c r="E14" s="118"/>
      <c r="F14" s="158"/>
      <c r="G14" s="118"/>
      <c r="H14" s="154"/>
      <c r="I14" s="150" t="str">
        <f t="shared" ref="I14:I19" si="0">IF(OR(D14="",E14=""),"",(D14*E14)/1000)</f>
        <v/>
      </c>
      <c r="J14" s="301"/>
      <c r="K14" s="135" t="str">
        <f t="shared" ref="K14:K19" si="1">IF(OR(I14="",J14=""),"",I14*J14)</f>
        <v/>
      </c>
      <c r="L14" s="23"/>
      <c r="S14" s="44"/>
      <c r="T14" s="45"/>
      <c r="U14" s="45"/>
      <c r="V14" s="45"/>
    </row>
    <row r="15" spans="1:22" ht="18.600000000000001" thickBot="1">
      <c r="A15" t="s">
        <v>150</v>
      </c>
      <c r="B15" s="25"/>
      <c r="C15" s="116"/>
      <c r="D15" s="117"/>
      <c r="E15" s="118"/>
      <c r="F15" s="158"/>
      <c r="G15" s="118"/>
      <c r="H15" s="154"/>
      <c r="I15" s="150" t="str">
        <f t="shared" si="0"/>
        <v/>
      </c>
      <c r="J15" s="301"/>
      <c r="K15" s="135" t="str">
        <f t="shared" si="1"/>
        <v/>
      </c>
      <c r="L15" s="23"/>
      <c r="S15" s="44"/>
      <c r="T15" s="45"/>
      <c r="U15" s="45"/>
      <c r="V15" s="45"/>
    </row>
    <row r="16" spans="1:22" ht="18.600000000000001" thickBot="1">
      <c r="A16" t="s">
        <v>244</v>
      </c>
      <c r="B16" s="25"/>
      <c r="C16" s="116"/>
      <c r="D16" s="117"/>
      <c r="E16" s="118"/>
      <c r="F16" s="158"/>
      <c r="G16" s="118"/>
      <c r="H16" s="154"/>
      <c r="I16" s="150" t="str">
        <f t="shared" si="0"/>
        <v/>
      </c>
      <c r="J16" s="301"/>
      <c r="K16" s="135" t="str">
        <f t="shared" si="1"/>
        <v/>
      </c>
      <c r="L16" s="23"/>
      <c r="S16" s="44"/>
      <c r="T16" s="45"/>
      <c r="U16" s="45"/>
      <c r="V16" s="45"/>
    </row>
    <row r="17" spans="1:22" ht="18.600000000000001" thickBot="1">
      <c r="A17" t="s">
        <v>230</v>
      </c>
      <c r="B17" s="25"/>
      <c r="C17" s="116"/>
      <c r="D17" s="117"/>
      <c r="E17" s="118"/>
      <c r="F17" s="158"/>
      <c r="G17" s="118"/>
      <c r="H17" s="154"/>
      <c r="I17" s="150" t="str">
        <f t="shared" si="0"/>
        <v/>
      </c>
      <c r="J17" s="301"/>
      <c r="K17" s="135" t="str">
        <f t="shared" si="1"/>
        <v/>
      </c>
      <c r="L17" s="23"/>
      <c r="S17" s="44"/>
      <c r="T17" s="45"/>
      <c r="U17" s="45"/>
      <c r="V17" s="45"/>
    </row>
    <row r="18" spans="1:22" ht="18.600000000000001" thickBot="1">
      <c r="A18" t="s">
        <v>231</v>
      </c>
      <c r="B18" s="25"/>
      <c r="C18" s="116"/>
      <c r="D18" s="117"/>
      <c r="E18" s="118"/>
      <c r="F18" s="158"/>
      <c r="G18" s="118"/>
      <c r="H18" s="154"/>
      <c r="I18" s="150" t="str">
        <f t="shared" si="0"/>
        <v/>
      </c>
      <c r="J18" s="301"/>
      <c r="K18" s="135" t="str">
        <f t="shared" si="1"/>
        <v/>
      </c>
      <c r="L18" s="23"/>
      <c r="S18" s="44"/>
      <c r="T18" s="45"/>
      <c r="U18" s="45"/>
      <c r="V18" s="45"/>
    </row>
    <row r="19" spans="1:22" ht="18.600000000000001" thickBot="1">
      <c r="A19" t="s">
        <v>232</v>
      </c>
      <c r="B19" s="25"/>
      <c r="C19" s="162"/>
      <c r="D19" s="119"/>
      <c r="E19" s="120"/>
      <c r="F19" s="159"/>
      <c r="G19" s="155"/>
      <c r="H19" s="156"/>
      <c r="I19" s="151" t="str">
        <f t="shared" si="0"/>
        <v/>
      </c>
      <c r="J19" s="302"/>
      <c r="K19" s="136" t="str">
        <f t="shared" si="1"/>
        <v/>
      </c>
      <c r="L19" s="23"/>
      <c r="S19" s="44"/>
      <c r="T19" s="45"/>
      <c r="U19" s="45"/>
      <c r="V19" s="45"/>
    </row>
    <row r="20" spans="1:22" ht="22.2" thickTop="1" thickBot="1">
      <c r="A20" t="s">
        <v>233</v>
      </c>
      <c r="B20" s="25"/>
      <c r="C20" s="385" t="s">
        <v>218</v>
      </c>
      <c r="D20" s="386"/>
      <c r="E20" s="386"/>
      <c r="F20" s="386"/>
      <c r="G20" s="386"/>
      <c r="H20" s="386"/>
      <c r="I20" s="309">
        <f>SUM(I13:I19)</f>
        <v>0</v>
      </c>
      <c r="J20" s="163">
        <f>SUM(I13:I19)</f>
        <v>0</v>
      </c>
      <c r="K20" s="137">
        <f>SUM(K13:K19)</f>
        <v>0</v>
      </c>
      <c r="L20" s="23"/>
      <c r="S20" s="44"/>
      <c r="T20" s="45"/>
      <c r="U20" s="45"/>
      <c r="V20" s="45"/>
    </row>
    <row r="21" spans="1:22" ht="18.600000000000001" thickTop="1" thickBot="1">
      <c r="A21" t="s">
        <v>234</v>
      </c>
      <c r="B21" s="25"/>
      <c r="C21" s="385" t="s">
        <v>261</v>
      </c>
      <c r="D21" s="386"/>
      <c r="E21" s="386"/>
      <c r="F21" s="386"/>
      <c r="G21" s="386"/>
      <c r="H21" s="386"/>
      <c r="I21" s="386"/>
      <c r="J21" s="132" t="s">
        <v>222</v>
      </c>
      <c r="K21" s="132" t="s">
        <v>217</v>
      </c>
      <c r="L21" s="23"/>
      <c r="S21" s="44"/>
      <c r="T21" s="45"/>
      <c r="U21" s="45"/>
      <c r="V21" s="45"/>
    </row>
    <row r="22" spans="1:22" ht="19.2" thickTop="1" thickBot="1">
      <c r="A22" t="s">
        <v>235</v>
      </c>
      <c r="B22" s="25"/>
      <c r="C22" s="121"/>
      <c r="D22" s="117"/>
      <c r="E22" s="92"/>
      <c r="F22" s="108"/>
      <c r="G22" s="108"/>
      <c r="H22" s="108"/>
      <c r="I22" s="108"/>
      <c r="J22" s="164"/>
      <c r="K22" s="140" t="str">
        <f>IF(OR(D22="",J22=""),"",D22*J22)</f>
        <v/>
      </c>
      <c r="L22" s="23"/>
      <c r="S22" s="44"/>
      <c r="T22" s="45"/>
      <c r="U22" s="45"/>
      <c r="V22" s="45"/>
    </row>
    <row r="23" spans="1:22" ht="18.600000000000001" thickBot="1">
      <c r="A23" t="s">
        <v>236</v>
      </c>
      <c r="B23" s="25"/>
      <c r="C23" s="121"/>
      <c r="D23" s="117"/>
      <c r="E23" s="92"/>
      <c r="F23" s="108"/>
      <c r="G23" s="108"/>
      <c r="H23" s="108"/>
      <c r="I23" s="108"/>
      <c r="J23" s="165"/>
      <c r="K23" s="141" t="str">
        <f t="shared" ref="K23:K26" si="2">IF(OR(D23="",J23=""),"",D23*J23)</f>
        <v/>
      </c>
      <c r="L23" s="23"/>
      <c r="S23" s="44"/>
      <c r="T23" s="45"/>
      <c r="U23" s="45"/>
      <c r="V23" s="45"/>
    </row>
    <row r="24" spans="1:22" ht="18.600000000000001" thickBot="1">
      <c r="A24" t="s">
        <v>237</v>
      </c>
      <c r="B24" s="25"/>
      <c r="C24" s="121"/>
      <c r="D24" s="117"/>
      <c r="E24" s="92"/>
      <c r="F24" s="108"/>
      <c r="G24" s="108"/>
      <c r="H24" s="108"/>
      <c r="I24" s="108"/>
      <c r="J24" s="165"/>
      <c r="K24" s="138" t="str">
        <f t="shared" si="2"/>
        <v/>
      </c>
      <c r="L24" s="23"/>
      <c r="S24" s="44"/>
      <c r="T24" s="45"/>
      <c r="U24" s="45"/>
      <c r="V24" s="45"/>
    </row>
    <row r="25" spans="1:22" ht="18.600000000000001" thickBot="1">
      <c r="A25" t="s">
        <v>238</v>
      </c>
      <c r="B25" s="25"/>
      <c r="C25" s="121"/>
      <c r="D25" s="117"/>
      <c r="E25" s="92"/>
      <c r="F25" s="108"/>
      <c r="G25" s="108"/>
      <c r="H25" s="108"/>
      <c r="I25" s="108"/>
      <c r="J25" s="165"/>
      <c r="K25" s="138" t="str">
        <f t="shared" si="2"/>
        <v/>
      </c>
      <c r="L25" s="23"/>
      <c r="S25" s="44"/>
      <c r="T25" s="45"/>
      <c r="U25" s="45"/>
      <c r="V25" s="45"/>
    </row>
    <row r="26" spans="1:22" ht="18.600000000000001" thickBot="1">
      <c r="A26" t="s">
        <v>239</v>
      </c>
      <c r="B26" s="25"/>
      <c r="C26" s="121"/>
      <c r="D26" s="117"/>
      <c r="E26" s="92"/>
      <c r="F26" s="108"/>
      <c r="G26" s="108"/>
      <c r="H26" s="108"/>
      <c r="I26" s="108"/>
      <c r="J26" s="166"/>
      <c r="K26" s="139" t="str">
        <f t="shared" si="2"/>
        <v/>
      </c>
      <c r="L26" s="23"/>
      <c r="S26" s="44"/>
      <c r="T26" s="45"/>
      <c r="U26" s="45"/>
      <c r="V26" s="45"/>
    </row>
    <row r="27" spans="1:22" ht="22.2" thickTop="1" thickBot="1">
      <c r="A27" t="s">
        <v>240</v>
      </c>
      <c r="B27" s="25"/>
      <c r="C27" s="385" t="s">
        <v>218</v>
      </c>
      <c r="D27" s="386"/>
      <c r="E27" s="386"/>
      <c r="F27" s="386"/>
      <c r="G27" s="386"/>
      <c r="H27" s="386"/>
      <c r="I27" s="386"/>
      <c r="J27" s="393"/>
      <c r="K27" s="137">
        <f>SUM(K22:K26)</f>
        <v>0</v>
      </c>
      <c r="L27" s="23"/>
      <c r="S27" s="44"/>
      <c r="T27" s="45"/>
      <c r="U27" s="45"/>
      <c r="V27" s="45"/>
    </row>
    <row r="28" spans="1:22" ht="18.600000000000001" thickTop="1" thickBot="1">
      <c r="A28" t="s">
        <v>241</v>
      </c>
      <c r="B28" s="25"/>
      <c r="C28" s="56" t="s">
        <v>126</v>
      </c>
      <c r="D28" s="147" t="s">
        <v>127</v>
      </c>
      <c r="E28" s="147" t="s">
        <v>130</v>
      </c>
      <c r="F28" s="147" t="s">
        <v>224</v>
      </c>
      <c r="G28" s="147" t="s">
        <v>247</v>
      </c>
      <c r="H28" s="170" t="s">
        <v>248</v>
      </c>
      <c r="I28" s="171"/>
      <c r="J28" s="171"/>
      <c r="K28" s="172"/>
      <c r="L28" s="23"/>
      <c r="S28" s="44"/>
      <c r="T28" s="45"/>
      <c r="U28" s="45"/>
      <c r="V28" s="45"/>
    </row>
    <row r="29" spans="1:22" ht="18.600000000000001" thickTop="1" thickBot="1">
      <c r="A29" t="s">
        <v>242</v>
      </c>
      <c r="B29" s="25"/>
      <c r="C29" s="146" t="s">
        <v>174</v>
      </c>
      <c r="D29" s="130"/>
      <c r="E29" s="130"/>
      <c r="F29" s="130"/>
      <c r="G29" s="130"/>
      <c r="H29" s="130"/>
      <c r="I29" s="145" t="s">
        <v>216</v>
      </c>
      <c r="J29" s="142" t="s">
        <v>219</v>
      </c>
      <c r="K29" s="142" t="s">
        <v>217</v>
      </c>
      <c r="L29" s="23"/>
      <c r="S29" s="44"/>
      <c r="T29" s="45"/>
      <c r="U29" s="45"/>
      <c r="V29" s="45"/>
    </row>
    <row r="30" spans="1:22" ht="19.2" thickTop="1" thickBot="1">
      <c r="A30" t="s">
        <v>243</v>
      </c>
      <c r="B30" s="25"/>
      <c r="C30" s="143"/>
      <c r="D30" s="144"/>
      <c r="E30" s="144"/>
      <c r="F30" s="122"/>
      <c r="G30" s="122"/>
      <c r="H30" s="122"/>
      <c r="I30" s="297" t="str">
        <f>IF(D30="","",D30)</f>
        <v/>
      </c>
      <c r="J30" s="167"/>
      <c r="K30" s="140" t="str">
        <f>IF(OR(D30="",I30=""),"",I30*J30)</f>
        <v/>
      </c>
      <c r="L30" s="23"/>
      <c r="S30" s="44"/>
      <c r="T30" s="45"/>
      <c r="U30" s="45"/>
      <c r="V30" s="45"/>
    </row>
    <row r="31" spans="1:22" ht="18.600000000000001" thickBot="1">
      <c r="B31" s="25"/>
      <c r="C31" s="143"/>
      <c r="D31" s="117"/>
      <c r="E31" s="117"/>
      <c r="F31" s="123"/>
      <c r="G31" s="123"/>
      <c r="H31" s="123"/>
      <c r="I31" s="297" t="str">
        <f t="shared" ref="I31:I38" si="3">IF(D31="","",D31)</f>
        <v/>
      </c>
      <c r="J31" s="168"/>
      <c r="K31" s="138" t="str">
        <f t="shared" ref="K31:K38" si="4">IF(OR(D31="",I31=""),"",I31*J31)</f>
        <v/>
      </c>
      <c r="L31" s="23"/>
      <c r="S31" s="44"/>
      <c r="T31" s="45"/>
      <c r="U31" s="45"/>
      <c r="V31" s="45"/>
    </row>
    <row r="32" spans="1:22" ht="18.600000000000001" thickBot="1">
      <c r="B32" s="25"/>
      <c r="C32" s="143"/>
      <c r="D32" s="117"/>
      <c r="E32" s="117"/>
      <c r="F32" s="123"/>
      <c r="G32" s="123"/>
      <c r="H32" s="123"/>
      <c r="I32" s="297" t="str">
        <f t="shared" si="3"/>
        <v/>
      </c>
      <c r="J32" s="168"/>
      <c r="K32" s="138" t="str">
        <f t="shared" si="4"/>
        <v/>
      </c>
      <c r="L32" s="23"/>
      <c r="S32" s="44"/>
      <c r="T32" s="45"/>
      <c r="U32" s="45"/>
      <c r="V32" s="45"/>
    </row>
    <row r="33" spans="1:22" ht="18.600000000000001" thickBot="1">
      <c r="B33" s="25"/>
      <c r="C33" s="143"/>
      <c r="D33" s="117"/>
      <c r="E33" s="117"/>
      <c r="F33" s="123"/>
      <c r="G33" s="123"/>
      <c r="H33" s="123"/>
      <c r="I33" s="297" t="str">
        <f t="shared" si="3"/>
        <v/>
      </c>
      <c r="J33" s="168"/>
      <c r="K33" s="138" t="str">
        <f t="shared" si="4"/>
        <v/>
      </c>
      <c r="L33" s="23"/>
      <c r="S33" s="44"/>
      <c r="T33" s="45"/>
      <c r="U33" s="45"/>
      <c r="V33" s="45"/>
    </row>
    <row r="34" spans="1:22" ht="18.600000000000001" thickBot="1">
      <c r="A34" t="s">
        <v>156</v>
      </c>
      <c r="B34" s="25"/>
      <c r="C34" s="143"/>
      <c r="D34" s="117"/>
      <c r="E34" s="117"/>
      <c r="F34" s="123"/>
      <c r="G34" s="123"/>
      <c r="H34" s="123"/>
      <c r="I34" s="297" t="str">
        <f t="shared" si="3"/>
        <v/>
      </c>
      <c r="J34" s="168"/>
      <c r="K34" s="138" t="str">
        <f t="shared" si="4"/>
        <v/>
      </c>
      <c r="L34" s="23"/>
      <c r="S34" s="44"/>
      <c r="T34" s="45"/>
      <c r="U34" s="45"/>
      <c r="V34" s="45"/>
    </row>
    <row r="35" spans="1:22" ht="18.600000000000001" thickBot="1">
      <c r="A35" t="s">
        <v>157</v>
      </c>
      <c r="B35" s="25"/>
      <c r="C35" s="143"/>
      <c r="D35" s="117"/>
      <c r="E35" s="117"/>
      <c r="F35" s="123"/>
      <c r="G35" s="123"/>
      <c r="H35" s="123"/>
      <c r="I35" s="297" t="str">
        <f t="shared" si="3"/>
        <v/>
      </c>
      <c r="J35" s="168"/>
      <c r="K35" s="138" t="str">
        <f t="shared" si="4"/>
        <v/>
      </c>
      <c r="L35" s="23"/>
      <c r="S35" s="44"/>
      <c r="T35" s="45"/>
      <c r="U35" s="45"/>
      <c r="V35" s="45"/>
    </row>
    <row r="36" spans="1:22" ht="18.600000000000001" thickBot="1">
      <c r="A36" t="s">
        <v>158</v>
      </c>
      <c r="B36" s="25"/>
      <c r="C36" s="143"/>
      <c r="D36" s="117"/>
      <c r="E36" s="117"/>
      <c r="F36" s="123"/>
      <c r="G36" s="123"/>
      <c r="H36" s="123"/>
      <c r="I36" s="297" t="str">
        <f t="shared" si="3"/>
        <v/>
      </c>
      <c r="J36" s="168"/>
      <c r="K36" s="138" t="str">
        <f t="shared" si="4"/>
        <v/>
      </c>
      <c r="L36" s="23"/>
      <c r="S36" s="44"/>
      <c r="T36" s="45"/>
      <c r="U36" s="45"/>
      <c r="V36" s="45"/>
    </row>
    <row r="37" spans="1:22" ht="18.600000000000001" thickBot="1">
      <c r="A37" t="s">
        <v>160</v>
      </c>
      <c r="B37" s="25"/>
      <c r="C37" s="143"/>
      <c r="D37" s="117"/>
      <c r="E37" s="117"/>
      <c r="F37" s="123"/>
      <c r="G37" s="123"/>
      <c r="H37" s="123"/>
      <c r="I37" s="297" t="str">
        <f t="shared" si="3"/>
        <v/>
      </c>
      <c r="J37" s="168"/>
      <c r="K37" s="138" t="str">
        <f t="shared" si="4"/>
        <v/>
      </c>
      <c r="L37" s="23"/>
      <c r="S37" s="44"/>
      <c r="T37" s="45"/>
      <c r="U37" s="45"/>
      <c r="V37" s="45"/>
    </row>
    <row r="38" spans="1:22" ht="18.600000000000001" thickBot="1">
      <c r="A38" t="s">
        <v>161</v>
      </c>
      <c r="B38" s="25"/>
      <c r="C38" s="143"/>
      <c r="D38" s="117"/>
      <c r="E38" s="117"/>
      <c r="F38" s="124"/>
      <c r="G38" s="124"/>
      <c r="H38" s="124"/>
      <c r="I38" s="298" t="str">
        <f t="shared" si="3"/>
        <v/>
      </c>
      <c r="J38" s="169"/>
      <c r="K38" s="139" t="str">
        <f t="shared" si="4"/>
        <v/>
      </c>
      <c r="L38" s="23"/>
      <c r="S38" s="44"/>
      <c r="T38" s="45"/>
      <c r="U38" s="45"/>
      <c r="V38" s="45"/>
    </row>
    <row r="39" spans="1:22" ht="22.2" thickTop="1" thickBot="1">
      <c r="A39" t="s">
        <v>162</v>
      </c>
      <c r="B39" s="25"/>
      <c r="C39" s="385" t="s">
        <v>218</v>
      </c>
      <c r="D39" s="386"/>
      <c r="E39" s="386"/>
      <c r="F39" s="386"/>
      <c r="G39" s="386"/>
      <c r="H39" s="386"/>
      <c r="I39" s="386"/>
      <c r="J39" s="393"/>
      <c r="K39" s="137">
        <f>SUM(K30:K38)</f>
        <v>0</v>
      </c>
      <c r="L39" s="23"/>
      <c r="S39" s="44"/>
      <c r="T39" s="45"/>
      <c r="U39" s="45"/>
      <c r="V39" s="45"/>
    </row>
    <row r="40" spans="1:22" ht="18.600000000000001" thickTop="1" thickBot="1">
      <c r="A40" t="s">
        <v>178</v>
      </c>
      <c r="B40" s="25"/>
      <c r="C40" s="385" t="s">
        <v>159</v>
      </c>
      <c r="D40" s="386"/>
      <c r="E40" s="386"/>
      <c r="F40" s="386"/>
      <c r="G40" s="386"/>
      <c r="H40" s="386"/>
      <c r="I40" s="386"/>
      <c r="J40" s="131" t="s">
        <v>221</v>
      </c>
      <c r="K40" s="142" t="s">
        <v>217</v>
      </c>
      <c r="L40" s="23"/>
      <c r="S40" s="44"/>
      <c r="T40" s="45"/>
      <c r="U40" s="45"/>
      <c r="V40" s="45"/>
    </row>
    <row r="41" spans="1:22" ht="19.2" thickTop="1" thickBot="1">
      <c r="A41" t="s">
        <v>179</v>
      </c>
      <c r="B41" s="25"/>
      <c r="C41" s="125" t="str">
        <f>IF('Total note Calcul'!S18=4004059,'Total note Calcul'!T18,"")</f>
        <v>Rail Jorisolar RS-R 385mm</v>
      </c>
      <c r="D41" s="126">
        <f>IF('Total note Calcul'!S18=4004059,'Total note Calcul'!R18,"")</f>
        <v>3</v>
      </c>
      <c r="E41" s="91"/>
      <c r="F41" s="109"/>
      <c r="G41" s="109"/>
      <c r="H41" s="109"/>
      <c r="I41" s="109"/>
      <c r="J41" s="304"/>
      <c r="K41" s="305" t="str">
        <f>IF(J41="","",D41*J41)</f>
        <v/>
      </c>
      <c r="L41" s="23"/>
      <c r="S41" s="44"/>
      <c r="T41" s="45"/>
      <c r="U41" s="45"/>
      <c r="V41" s="45"/>
    </row>
    <row r="42" spans="1:22" ht="18.600000000000001" thickBot="1">
      <c r="A42" t="s">
        <v>180</v>
      </c>
      <c r="B42" s="25"/>
      <c r="C42" s="125" t="str">
        <f>IF('Total note Calcul'!M18=10720,'Total note Calcul'!N18,"")</f>
        <v>Rail Jorisolar Opti'Roof 100mm + joints</v>
      </c>
      <c r="D42" s="126">
        <f>IF('Total note Calcul'!M18=10720,'Total note Calcul'!L18,"")</f>
        <v>0</v>
      </c>
      <c r="E42" s="91"/>
      <c r="F42" s="109"/>
      <c r="G42" s="109"/>
      <c r="H42" s="109"/>
      <c r="I42" s="109"/>
      <c r="J42" s="306"/>
      <c r="K42" s="141" t="str">
        <f>IF(J42="","",D42*J42)</f>
        <v/>
      </c>
      <c r="L42" s="23"/>
      <c r="S42" s="44"/>
      <c r="T42" s="45"/>
      <c r="U42" s="45"/>
      <c r="V42" s="45"/>
    </row>
    <row r="43" spans="1:22" ht="18.600000000000001" thickBot="1">
      <c r="A43" t="s">
        <v>175</v>
      </c>
      <c r="B43" s="25"/>
      <c r="C43" s="125" t="str">
        <f>IF('Total note Calcul'!M19=11701,'Total note Calcul'!N19,"")</f>
        <v/>
      </c>
      <c r="D43" s="126" t="str">
        <f>IF('Total note Calcul'!M19=11701,'Total note Calcul'!L19,"")</f>
        <v/>
      </c>
      <c r="E43" s="91"/>
      <c r="F43" s="109"/>
      <c r="G43" s="109"/>
      <c r="H43" s="109"/>
      <c r="I43" s="109"/>
      <c r="J43" s="307"/>
      <c r="K43" s="138" t="str">
        <f t="shared" ref="K43:K49" si="5">IF(J43="","",D43*J43)</f>
        <v/>
      </c>
      <c r="L43" s="23"/>
      <c r="S43" s="44"/>
      <c r="T43" s="45"/>
      <c r="U43" s="45"/>
      <c r="V43" s="45"/>
    </row>
    <row r="44" spans="1:22" ht="18.600000000000001" thickBot="1">
      <c r="A44" t="s">
        <v>176</v>
      </c>
      <c r="B44" s="25"/>
      <c r="C44" s="125" t="str">
        <f>IF('Total note Calcul'!S19=4004580,'Total note Calcul'!T19,"")</f>
        <v/>
      </c>
      <c r="D44" s="126" t="str">
        <f>IF('Total note Calcul'!S19=4004580,'Total note Calcul'!R19,"")</f>
        <v/>
      </c>
      <c r="E44" s="91"/>
      <c r="F44" s="109"/>
      <c r="G44" s="109"/>
      <c r="H44" s="109"/>
      <c r="I44" s="109"/>
      <c r="J44" s="307"/>
      <c r="K44" s="138"/>
      <c r="L44" s="23"/>
      <c r="S44" s="44"/>
      <c r="T44" s="45"/>
      <c r="U44" s="45"/>
      <c r="V44" s="45"/>
    </row>
    <row r="45" spans="1:22" ht="18.600000000000001" thickBot="1">
      <c r="A45" t="s">
        <v>177</v>
      </c>
      <c r="B45" s="25"/>
      <c r="C45" s="125" t="str">
        <f>IF('Total note Calcul'!M20=4001967,'Total note Calcul'!N20,IF('Total note Calcul'!S20=4001967,'Total note Calcul'!T20,""))</f>
        <v>Vis fixation support Jorisolar 6,3x22</v>
      </c>
      <c r="D45" s="126">
        <f>IF(AND('Total note Calcul'!L20="",'Total note Calcul'!R20=""),"",SUM('Total note Calcul'!L20,'Total note Calcul'!R20))</f>
        <v>3</v>
      </c>
      <c r="E45" s="91"/>
      <c r="F45" s="109"/>
      <c r="G45" s="109"/>
      <c r="H45" s="109"/>
      <c r="I45" s="109"/>
      <c r="J45" s="307"/>
      <c r="K45" s="138" t="str">
        <f t="shared" si="5"/>
        <v/>
      </c>
      <c r="L45" s="23"/>
      <c r="S45" s="44"/>
      <c r="T45" s="45"/>
      <c r="U45" s="45"/>
      <c r="V45" s="45"/>
    </row>
    <row r="46" spans="1:22" ht="18.600000000000001" thickBot="1">
      <c r="B46" s="25"/>
      <c r="C46" s="125" t="str">
        <f>IF('Total note Calcul'!M21=16739,'Total note Calcul'!N21,IF('Total note Calcul'!S21=16739,'Total note Calcul'!T21,""))</f>
        <v>Kit Bride Centrale ST02+Terragrif 30-50 universelle Jorisolar</v>
      </c>
      <c r="D46" s="126">
        <f>IF(AND('Total note Calcul'!M21="",'Total note Calcul'!S21=""),"",SUM('Total note Calcul'!L21,'Total note Calcul'!R21))</f>
        <v>0</v>
      </c>
      <c r="E46" s="91"/>
      <c r="F46" s="109"/>
      <c r="G46" s="109"/>
      <c r="H46" s="109"/>
      <c r="I46" s="109"/>
      <c r="J46" s="307"/>
      <c r="K46" s="138" t="str">
        <f t="shared" si="5"/>
        <v/>
      </c>
      <c r="L46" s="23"/>
      <c r="S46" s="44"/>
      <c r="T46" s="45"/>
      <c r="U46" s="45"/>
      <c r="V46" s="45"/>
    </row>
    <row r="47" spans="1:22" ht="18.600000000000001" thickBot="1">
      <c r="B47" s="25"/>
      <c r="C47" s="125" t="str">
        <f>IF('Total note Calcul'!M22=8723,'Total note Calcul'!N22,IF('Total note Calcul'!S22=8723,'Total note Calcul'!T22,IF('Total note Calcul'!M23=8724,'Total note Calcul'!N23,IF('Total note Calcul'!S23=8724,'Total note Calcul'!T23,IF('Total note Calcul'!M24=8590,'Total note Calcul'!N24,IF('Total note Calcul'!S24=8590,'Total note Calcul'!T24,IF('Total note Calcul'!M25=8725,'Total note Calcul'!N25,IF('Total note Calcul'!S25=8725,'Total note Calcul'!T25,IF('Total note Calcul'!L26=8726,'Total note Calcul'!N26,IF('Total note Calcul'!S26=8726,'Total note Calcul'!T26,IF('Total note Calcul'!M27=8727,'Total note Calcul'!N27,IF('Total note Calcul'!S27=8727,'Total note Calcul'!T27,IF('Total note Calcul'!M28=8728,'Total note Calcul'!N28,IF('Total note Calcul'!S28=8728,'Total note Calcul'!T28,IF('Total note Calcul'!M29=8591,'Total note Calcul'!N29,IF('Total note Calcul'!S29=8591,'Total note Calcul'!T29,IF('Total note Calcul'!M30=8729,'Total note Calcul'!N30,IF('Total note Calcul'!S30=8729,'Total note Calcul'!T30,IF('Total note Calcul'!M31=8740,'Total note Calcul'!N31,IF('Total note Calcul'!S31=8740,'Total note Calcul'!T31,""))))))))))))))))))))</f>
        <v/>
      </c>
      <c r="D47" s="126" t="str">
        <f>IF(OR('Total note Calcul'!M22=8723,'Total note Calcul'!S22=8723),SUM('Total note Calcul'!L22,'Total note Calcul'!R22),IF(OR('Total note Calcul'!M23=8724,'Total note Calcul'!S23=8724),SUM('Total note Calcul'!L23,'Total note Calcul'!R23),IF(OR('Total note Calcul'!M24=8590,'Total note Calcul'!S24=8590),SUM('Total note Calcul'!L24,'Total note Calcul'!R24),IF(OR('Total note Calcul'!M25=8725,'Total note Calcul'!S25=8725),SUM('Total note Calcul'!L25,'Total note Calcul'!R25),IF(OR('Total note Calcul'!M26=8726,'Total note Calcul'!S26=8726),SUM('Total note Calcul'!L26,'Total note Calcul'!R26),IF(OR('Total note Calcul'!M27=8727,'Total note Calcul'!S27=8727),SUM('Total note Calcul'!L27,'Total note Calcul'!R27),IF(OR('Total note Calcul'!M28=8728,'Total note Calcul'!S28=8728),SUM('Total note Calcul'!L28,'Total note Calcul'!R28),IF(OR('Total note Calcul'!M29=8591,'Total note Calcul'!S29=8591),SUM('Total note Calcul'!L29,'Total note Calcul'!R29),IF(OR('Total note Calcul'!M30=8729,'Total note Calcul'!S30=8729),SUM('Total note Calcul'!L30,'Total note Calcul'!R30),IF(OR('Total note Calcul'!M31=8740,'Total note Calcul'!S31=8740),SUM('Total note Calcul'!L31,'Total note Calcul'!R31),""))))))))))</f>
        <v/>
      </c>
      <c r="E47" s="91"/>
      <c r="F47" s="109"/>
      <c r="G47" s="109"/>
      <c r="H47" s="109"/>
      <c r="I47" s="109"/>
      <c r="J47" s="307"/>
      <c r="K47" s="138"/>
      <c r="L47" s="23"/>
      <c r="S47" s="44"/>
      <c r="T47" s="45"/>
      <c r="U47" s="45"/>
      <c r="V47" s="45"/>
    </row>
    <row r="48" spans="1:22" ht="18.600000000000001" thickBot="1">
      <c r="B48" s="25"/>
      <c r="C48" s="125" t="str">
        <f>IF('Total note Calcul'!M32=8741,'Total note Calcul'!N32,IF('Total note Calcul'!S32=8741,'Total note Calcul'!T32,IF('Total note Calcul'!M33=8742,'Total note Calcul'!N33,IF('Total note Calcul'!S33=8742,'Total note Calcul'!T33,IF('Total note Calcul'!M34=8743,'Total note Calcul'!N34,IF('Total note Calcul'!S34=8743,'Total note Calcul'!T34,IF('Total note Calcul'!M35=8744,'Total note Calcul'!N35,IF('Total note Calcul'!S35=8744,'Total note Calcul'!T35,IF('Total note Calcul'!M36=8745,'Total note Calcul'!N36,IF('Total note Calcul'!S36=8745,'Total note Calcul'!T36,IF('Total note Calcul'!M37=8592,'Total note Calcul'!N37,IF('Total note Calcul'!S37=8592,'Total note Calcul'!T37,IF('Total note Calcul'!M38=8746,'Total note Calcul'!N38,IF('Total note Calcul'!S38=8746,'Total note Calcul'!T38,IF('Total note Calcul'!M39=8747,'Total note Calcul'!N39,IF('Total note Calcul'!S39=8747,'Total note Calcul'!T39,IF('Total note Calcul'!M40=8748,'Total note Calcul'!N40,IF('Total note Calcul'!S40=8748,'Total note Calcul'!T40,""))))))))))))))))))</f>
        <v>Kit Bride Latérale 30-31 Jorisolar</v>
      </c>
      <c r="D48" s="126">
        <f>IF(OR('Total note Calcul'!M32=8741,'Total note Calcul'!S32=8741),SUM('Total note Calcul'!L32,'Total note Calcul'!R32),IF(OR('Total note Calcul'!M33=8742,'Total note Calcul'!S33=8742),SUM('Total note Calcul'!L33,'Total note Calcul'!R33),IF(OR('Total note Calcul'!M34=8743,'Total note Calcul'!S34=8743),SUM('Total note Calcul'!L34,'Total note Calcul'!R34),IF(OR('Total note Calcul'!M35=8744,'Total note Calcul'!S35=8744),SUM('Total note Calcul'!L35,'Total note Calcul'!R35),IF(OR('Total note Calcul'!M36=8745,'Total note Calcul'!S36=8745),SUM('Total note Calcul'!L36,'Total note Calcul'!R36),IF(OR('Total note Calcul'!M37=8592,'Total note Calcul'!S37=8592),SUM('Total note Calcul'!L37,'Total note Calcul'!R37),IF(OR('Total note Calcul'!M38=8746,'Total note Calcul'!S38=8746),SUM('Total note Calcul'!L38,'Total note Calcul'!R38),IF(OR('Total note Calcul'!M39=8747,'Total note Calcul'!S39=8747),SUM('Total note Calcul'!L39,'Total note Calcul'!R39),IF(OR('Total note Calcul'!M40=8748,'Total note Calcul'!S40=8748),SUM('Total note Calcul'!L40,'Total note Calcul'!R40),"")))))))))</f>
        <v>0</v>
      </c>
      <c r="E48" s="91"/>
      <c r="F48" s="109"/>
      <c r="G48" s="109"/>
      <c r="H48" s="109"/>
      <c r="I48" s="109"/>
      <c r="J48" s="307"/>
      <c r="K48" s="138" t="str">
        <f t="shared" si="5"/>
        <v/>
      </c>
      <c r="L48" s="23"/>
      <c r="S48" s="44"/>
      <c r="T48" s="45"/>
      <c r="U48" s="45"/>
      <c r="V48" s="45"/>
    </row>
    <row r="49" spans="1:22" ht="18.600000000000001" thickBot="1">
      <c r="B49" s="25"/>
      <c r="C49" s="125" t="str">
        <f>IF('Total note Calcul'!M41=4006648,'Total note Calcul'!N41,IF('Total note Calcul'!S41=4006648,'Total note Calcul'!T41,""))</f>
        <v>Clip de mise à la terre Rayvolt</v>
      </c>
      <c r="D49" s="126">
        <f>IF(AND('Total note Calcul'!M41="",'Total note Calcul'!S41=""),"",SUM('Total note Calcul'!L41,'Total note Calcul'!R41))</f>
        <v>0</v>
      </c>
      <c r="E49" s="91"/>
      <c r="F49" s="109"/>
      <c r="G49" s="109"/>
      <c r="H49" s="109"/>
      <c r="I49" s="109"/>
      <c r="J49" s="307"/>
      <c r="K49" s="138" t="str">
        <f t="shared" si="5"/>
        <v/>
      </c>
      <c r="L49" s="23"/>
      <c r="S49" s="44"/>
      <c r="T49" s="45"/>
      <c r="U49" s="45"/>
      <c r="V49" s="45"/>
    </row>
    <row r="50" spans="1:22" ht="18.600000000000001" thickBot="1">
      <c r="B50" s="25"/>
      <c r="C50" s="127"/>
      <c r="D50" s="126"/>
      <c r="E50" s="128"/>
      <c r="F50" s="129"/>
      <c r="G50" s="129"/>
      <c r="H50" s="129"/>
      <c r="I50" s="129"/>
      <c r="J50" s="308"/>
      <c r="K50" s="139"/>
      <c r="L50" s="23"/>
      <c r="S50" s="44"/>
      <c r="T50" s="45"/>
      <c r="U50" s="45"/>
      <c r="V50" s="45"/>
    </row>
    <row r="51" spans="1:22" ht="22.2" thickTop="1" thickBot="1">
      <c r="A51" t="s">
        <v>166</v>
      </c>
      <c r="B51" s="25"/>
      <c r="C51" s="385" t="s">
        <v>218</v>
      </c>
      <c r="D51" s="386"/>
      <c r="E51" s="386"/>
      <c r="F51" s="386"/>
      <c r="G51" s="386"/>
      <c r="H51" s="386"/>
      <c r="I51" s="386"/>
      <c r="J51" s="393"/>
      <c r="K51" s="137">
        <f>SUM(K41:K50)</f>
        <v>0</v>
      </c>
      <c r="L51" s="23"/>
    </row>
    <row r="52" spans="1:22" ht="18.600000000000001" thickTop="1" thickBot="1">
      <c r="A52" t="s">
        <v>167</v>
      </c>
      <c r="B52" s="25"/>
      <c r="C52" s="385" t="s">
        <v>229</v>
      </c>
      <c r="D52" s="386"/>
      <c r="E52" s="386"/>
      <c r="F52" s="386"/>
      <c r="G52" s="386"/>
      <c r="H52" s="386"/>
      <c r="I52" s="386"/>
      <c r="J52" s="131" t="s">
        <v>221</v>
      </c>
      <c r="K52" s="131" t="s">
        <v>217</v>
      </c>
      <c r="L52" s="23"/>
      <c r="S52" s="44"/>
      <c r="T52" s="45"/>
      <c r="U52" s="45"/>
      <c r="V52" s="45"/>
    </row>
    <row r="53" spans="1:22" ht="19.2" thickTop="1" thickBot="1">
      <c r="A53" t="s">
        <v>168</v>
      </c>
      <c r="B53" s="25"/>
      <c r="C53" s="121"/>
      <c r="D53" s="117"/>
      <c r="E53" s="91"/>
      <c r="F53" s="109"/>
      <c r="G53" s="109"/>
      <c r="H53" s="109"/>
      <c r="I53" s="109"/>
      <c r="J53" s="303"/>
      <c r="K53" s="161" t="str">
        <f>IF(J53="","",D53*J53)</f>
        <v/>
      </c>
      <c r="L53" s="23"/>
      <c r="S53" s="44"/>
      <c r="T53" s="45"/>
      <c r="U53" s="45"/>
      <c r="V53" s="45"/>
    </row>
    <row r="54" spans="1:22" ht="18.600000000000001" thickBot="1">
      <c r="A54" t="s">
        <v>164</v>
      </c>
      <c r="B54" s="25"/>
      <c r="C54" s="121"/>
      <c r="D54" s="117"/>
      <c r="E54" s="91"/>
      <c r="F54" s="109"/>
      <c r="G54" s="109"/>
      <c r="H54" s="109"/>
      <c r="I54" s="109"/>
      <c r="J54" s="303"/>
      <c r="K54" s="161" t="str">
        <f t="shared" ref="K54:K56" si="6">IF(J54="","",D54*J54)</f>
        <v/>
      </c>
      <c r="L54" s="23"/>
      <c r="S54" s="44"/>
      <c r="T54" s="45"/>
      <c r="U54" s="45"/>
      <c r="V54" s="45"/>
    </row>
    <row r="55" spans="1:22" ht="18.600000000000001" thickBot="1">
      <c r="A55" t="s">
        <v>169</v>
      </c>
      <c r="B55" s="25"/>
      <c r="C55" s="121"/>
      <c r="D55" s="117"/>
      <c r="E55" s="91"/>
      <c r="F55" s="109"/>
      <c r="G55" s="109"/>
      <c r="H55" s="109"/>
      <c r="I55" s="109"/>
      <c r="J55" s="303"/>
      <c r="K55" s="161" t="str">
        <f t="shared" si="6"/>
        <v/>
      </c>
      <c r="L55" s="23"/>
      <c r="S55" s="44"/>
      <c r="T55" s="45"/>
      <c r="U55" s="45"/>
      <c r="V55" s="45"/>
    </row>
    <row r="56" spans="1:22" ht="18.600000000000001" thickBot="1">
      <c r="A56" t="s">
        <v>170</v>
      </c>
      <c r="B56" s="25"/>
      <c r="C56" s="121"/>
      <c r="D56" s="117"/>
      <c r="E56" s="91"/>
      <c r="F56" s="109"/>
      <c r="G56" s="109"/>
      <c r="H56" s="109"/>
      <c r="I56" s="109"/>
      <c r="J56" s="303"/>
      <c r="K56" s="161" t="str">
        <f t="shared" si="6"/>
        <v/>
      </c>
      <c r="L56" s="23"/>
      <c r="S56" s="44"/>
      <c r="T56" s="45"/>
      <c r="U56" s="45"/>
      <c r="V56" s="45"/>
    </row>
    <row r="57" spans="1:22" ht="22.2" thickTop="1" thickBot="1">
      <c r="A57" t="s">
        <v>171</v>
      </c>
      <c r="B57" s="25"/>
      <c r="C57" s="385" t="s">
        <v>218</v>
      </c>
      <c r="D57" s="386"/>
      <c r="E57" s="386"/>
      <c r="F57" s="386"/>
      <c r="G57" s="386"/>
      <c r="H57" s="386"/>
      <c r="I57" s="386"/>
      <c r="J57" s="393"/>
      <c r="K57" s="137">
        <f>SUM(K53:K56)</f>
        <v>0</v>
      </c>
      <c r="L57" s="23"/>
    </row>
    <row r="58" spans="1:22" ht="22.2" thickTop="1" thickBot="1">
      <c r="A58" t="s">
        <v>172</v>
      </c>
      <c r="B58" s="22"/>
      <c r="C58" s="385" t="s">
        <v>220</v>
      </c>
      <c r="D58" s="386"/>
      <c r="E58" s="386"/>
      <c r="F58" s="386"/>
      <c r="G58" s="386"/>
      <c r="H58" s="386"/>
      <c r="I58" s="386"/>
      <c r="J58" s="386"/>
      <c r="K58" s="137">
        <f>K51+K39+K27+K20+K57</f>
        <v>0</v>
      </c>
      <c r="L58" s="23"/>
    </row>
    <row r="59" spans="1:22" ht="15.6" thickTop="1" thickBot="1">
      <c r="A59" t="s">
        <v>173</v>
      </c>
      <c r="B59" s="22"/>
      <c r="C59" s="355"/>
      <c r="D59" s="355"/>
      <c r="E59" s="355"/>
      <c r="F59" s="355"/>
      <c r="G59" s="355"/>
      <c r="H59" s="355"/>
      <c r="I59" s="355"/>
      <c r="J59" s="355"/>
      <c r="K59" s="355"/>
      <c r="L59" s="23"/>
    </row>
    <row r="60" spans="1:22" ht="16.5" customHeight="1" thickTop="1">
      <c r="A60" t="s">
        <v>246</v>
      </c>
      <c r="B60" s="25"/>
      <c r="C60" s="356" t="s">
        <v>186</v>
      </c>
      <c r="D60" s="361" t="s">
        <v>187</v>
      </c>
      <c r="E60" s="362"/>
      <c r="F60" s="362"/>
      <c r="G60" s="362"/>
      <c r="H60" s="362"/>
      <c r="I60" s="362"/>
      <c r="J60" s="362"/>
      <c r="K60" s="363"/>
      <c r="L60" s="23"/>
    </row>
    <row r="61" spans="1:22" ht="16.5" customHeight="1">
      <c r="A61" t="s">
        <v>165</v>
      </c>
      <c r="B61" s="25"/>
      <c r="C61" s="357"/>
      <c r="D61" s="364"/>
      <c r="E61" s="365"/>
      <c r="F61" s="365"/>
      <c r="G61" s="365"/>
      <c r="H61" s="365"/>
      <c r="I61" s="365"/>
      <c r="J61" s="365"/>
      <c r="K61" s="366"/>
      <c r="L61" s="23"/>
    </row>
    <row r="62" spans="1:22" ht="16.5" customHeight="1">
      <c r="A62" t="s">
        <v>210</v>
      </c>
      <c r="B62" s="25"/>
      <c r="C62" s="357"/>
      <c r="D62" s="364"/>
      <c r="E62" s="365"/>
      <c r="F62" s="365"/>
      <c r="G62" s="365"/>
      <c r="H62" s="365"/>
      <c r="I62" s="365"/>
      <c r="J62" s="365"/>
      <c r="K62" s="366"/>
      <c r="L62" s="23"/>
    </row>
    <row r="63" spans="1:22" ht="15" thickBot="1">
      <c r="B63" s="25"/>
      <c r="C63" s="358"/>
      <c r="D63" s="364"/>
      <c r="E63" s="365"/>
      <c r="F63" s="365"/>
      <c r="G63" s="365"/>
      <c r="H63" s="365"/>
      <c r="I63" s="365"/>
      <c r="J63" s="365"/>
      <c r="K63" s="366"/>
      <c r="L63" s="23"/>
    </row>
    <row r="64" spans="1:22">
      <c r="B64" s="25"/>
      <c r="C64" s="359" t="s">
        <v>153</v>
      </c>
      <c r="D64" s="364"/>
      <c r="E64" s="365"/>
      <c r="F64" s="365"/>
      <c r="G64" s="365"/>
      <c r="H64" s="365"/>
      <c r="I64" s="365"/>
      <c r="J64" s="365"/>
      <c r="K64" s="366"/>
      <c r="L64" s="23"/>
    </row>
    <row r="65" spans="1:12">
      <c r="A65" t="s">
        <v>214</v>
      </c>
      <c r="B65" s="25"/>
      <c r="C65" s="357"/>
      <c r="D65" s="364"/>
      <c r="E65" s="365"/>
      <c r="F65" s="365"/>
      <c r="G65" s="365"/>
      <c r="H65" s="365"/>
      <c r="I65" s="365"/>
      <c r="J65" s="365"/>
      <c r="K65" s="366"/>
      <c r="L65" s="23"/>
    </row>
    <row r="66" spans="1:12" ht="15" thickBot="1">
      <c r="A66" t="s">
        <v>215</v>
      </c>
      <c r="B66" s="25"/>
      <c r="C66" s="358"/>
      <c r="D66" s="367"/>
      <c r="E66" s="368"/>
      <c r="F66" s="368"/>
      <c r="G66" s="368"/>
      <c r="H66" s="368"/>
      <c r="I66" s="368"/>
      <c r="J66" s="368"/>
      <c r="K66" s="369"/>
      <c r="L66" s="23"/>
    </row>
    <row r="67" spans="1:12">
      <c r="B67" s="25"/>
      <c r="C67" s="359" t="s">
        <v>185</v>
      </c>
      <c r="D67" s="349" t="s">
        <v>184</v>
      </c>
      <c r="E67" s="350"/>
      <c r="F67" s="350"/>
      <c r="G67" s="350"/>
      <c r="H67" s="350"/>
      <c r="I67" s="350"/>
      <c r="J67" s="350"/>
      <c r="K67" s="351"/>
      <c r="L67" s="23"/>
    </row>
    <row r="68" spans="1:12">
      <c r="A68" t="s">
        <v>225</v>
      </c>
      <c r="B68" s="25"/>
      <c r="C68" s="357"/>
      <c r="D68" s="349"/>
      <c r="E68" s="350"/>
      <c r="F68" s="350"/>
      <c r="G68" s="350"/>
      <c r="H68" s="350"/>
      <c r="I68" s="350"/>
      <c r="J68" s="350"/>
      <c r="K68" s="351"/>
      <c r="L68" s="23"/>
    </row>
    <row r="69" spans="1:12" ht="15" thickBot="1">
      <c r="A69" t="s">
        <v>226</v>
      </c>
      <c r="B69" s="25"/>
      <c r="C69" s="360"/>
      <c r="D69" s="352"/>
      <c r="E69" s="353"/>
      <c r="F69" s="353"/>
      <c r="G69" s="353"/>
      <c r="H69" s="353"/>
      <c r="I69" s="353"/>
      <c r="J69" s="353"/>
      <c r="K69" s="354"/>
      <c r="L69" s="23"/>
    </row>
    <row r="70" spans="1:12" ht="14.25" customHeight="1" thickTop="1" thickBot="1">
      <c r="A70" t="s">
        <v>227</v>
      </c>
      <c r="B70" s="26"/>
      <c r="C70" s="24"/>
      <c r="D70" s="27"/>
      <c r="E70" s="24"/>
      <c r="F70" s="24"/>
      <c r="G70" s="24"/>
      <c r="H70" s="24"/>
      <c r="I70" s="24"/>
      <c r="J70" s="24"/>
      <c r="K70" s="24"/>
      <c r="L70" s="28"/>
    </row>
    <row r="71" spans="1:12" ht="15" thickTop="1">
      <c r="A71" t="s">
        <v>228</v>
      </c>
    </row>
    <row r="72" spans="1:12" ht="15" customHeight="1">
      <c r="C72" s="348" t="s">
        <v>258</v>
      </c>
      <c r="D72" s="348"/>
      <c r="E72" s="348"/>
      <c r="F72" s="348"/>
      <c r="G72" s="348"/>
      <c r="H72" s="348"/>
      <c r="I72" s="348"/>
      <c r="J72" s="348"/>
      <c r="K72" s="348"/>
    </row>
    <row r="73" spans="1:12">
      <c r="A73" t="s">
        <v>57</v>
      </c>
      <c r="C73" s="348"/>
      <c r="D73" s="348"/>
      <c r="E73" s="348"/>
      <c r="F73" s="348"/>
      <c r="G73" s="348"/>
      <c r="H73" s="348"/>
      <c r="I73" s="348"/>
      <c r="J73" s="348"/>
      <c r="K73" s="348"/>
    </row>
    <row r="74" spans="1:12">
      <c r="A74" t="s">
        <v>251</v>
      </c>
      <c r="C74" s="348"/>
      <c r="D74" s="348"/>
      <c r="E74" s="348"/>
      <c r="F74" s="348"/>
      <c r="G74" s="348"/>
      <c r="H74" s="348"/>
      <c r="I74" s="348"/>
      <c r="J74" s="348"/>
      <c r="K74" s="348"/>
    </row>
    <row r="75" spans="1:12">
      <c r="A75" t="s">
        <v>58</v>
      </c>
      <c r="C75" s="348"/>
      <c r="D75" s="348"/>
      <c r="E75" s="348"/>
      <c r="F75" s="348"/>
      <c r="G75" s="348"/>
      <c r="H75" s="348"/>
      <c r="I75" s="348"/>
      <c r="J75" s="348"/>
      <c r="K75" s="348"/>
    </row>
    <row r="76" spans="1:12">
      <c r="A76" t="s">
        <v>147</v>
      </c>
      <c r="C76" s="348"/>
      <c r="D76" s="348"/>
      <c r="E76" s="348"/>
      <c r="F76" s="348"/>
      <c r="G76" s="348"/>
      <c r="H76" s="348"/>
      <c r="I76" s="348"/>
      <c r="J76" s="348"/>
      <c r="K76" s="348"/>
    </row>
    <row r="77" spans="1:12">
      <c r="A77" t="s">
        <v>263</v>
      </c>
      <c r="C77" s="348"/>
      <c r="D77" s="348"/>
      <c r="E77" s="348"/>
      <c r="F77" s="348"/>
      <c r="G77" s="348"/>
      <c r="H77" s="348"/>
      <c r="I77" s="348"/>
      <c r="J77" s="348"/>
      <c r="K77" s="348"/>
    </row>
    <row r="78" spans="1:12">
      <c r="A78" t="s">
        <v>264</v>
      </c>
      <c r="C78" s="348"/>
      <c r="D78" s="348"/>
      <c r="E78" s="348"/>
      <c r="F78" s="348"/>
      <c r="G78" s="348"/>
      <c r="H78" s="348"/>
      <c r="I78" s="348"/>
      <c r="J78" s="348"/>
      <c r="K78" s="348"/>
    </row>
    <row r="79" spans="1:12">
      <c r="A79" t="s">
        <v>265</v>
      </c>
      <c r="C79" s="348"/>
      <c r="D79" s="348"/>
      <c r="E79" s="348"/>
      <c r="F79" s="348"/>
      <c r="G79" s="348"/>
      <c r="H79" s="348"/>
      <c r="I79" s="348"/>
      <c r="J79" s="348"/>
      <c r="K79" s="348"/>
    </row>
    <row r="80" spans="1:12">
      <c r="A80" t="s">
        <v>266</v>
      </c>
      <c r="C80" s="348"/>
      <c r="D80" s="348"/>
      <c r="E80" s="348"/>
      <c r="F80" s="348"/>
      <c r="G80" s="348"/>
      <c r="H80" s="348"/>
      <c r="I80" s="348"/>
      <c r="J80" s="348"/>
      <c r="K80" s="348"/>
    </row>
    <row r="81" spans="1:11">
      <c r="A81" t="s">
        <v>267</v>
      </c>
      <c r="C81" s="348"/>
      <c r="D81" s="348"/>
      <c r="E81" s="348"/>
      <c r="F81" s="348"/>
      <c r="G81" s="348"/>
      <c r="H81" s="348"/>
      <c r="I81" s="348"/>
      <c r="J81" s="348"/>
      <c r="K81" s="348"/>
    </row>
    <row r="82" spans="1:11">
      <c r="A82" t="s">
        <v>40</v>
      </c>
      <c r="C82" s="48"/>
      <c r="D82" s="48"/>
      <c r="E82" s="48"/>
      <c r="F82" s="48"/>
      <c r="G82" s="48"/>
      <c r="H82" s="48"/>
      <c r="I82" s="48"/>
      <c r="J82" s="48"/>
      <c r="K82" s="48"/>
    </row>
    <row r="83" spans="1:11">
      <c r="A83" t="s">
        <v>41</v>
      </c>
      <c r="C83" s="48"/>
      <c r="D83" s="48"/>
      <c r="E83" s="48"/>
      <c r="F83" s="48"/>
      <c r="G83" s="48"/>
      <c r="H83" s="48"/>
      <c r="I83" s="48"/>
      <c r="J83" s="48"/>
      <c r="K83" s="48"/>
    </row>
    <row r="84" spans="1:11">
      <c r="A84" t="s">
        <v>42</v>
      </c>
      <c r="C84" s="48"/>
      <c r="D84" s="48"/>
      <c r="E84" s="48"/>
      <c r="F84" s="48"/>
      <c r="G84" s="48"/>
      <c r="H84" s="48"/>
      <c r="I84" s="48"/>
      <c r="J84" s="48"/>
      <c r="K84" s="48"/>
    </row>
    <row r="85" spans="1:11">
      <c r="A85" t="s">
        <v>43</v>
      </c>
    </row>
    <row r="86" spans="1:11">
      <c r="A86" t="s">
        <v>44</v>
      </c>
    </row>
    <row r="87" spans="1:11">
      <c r="A87" t="s">
        <v>45</v>
      </c>
    </row>
    <row r="88" spans="1:11">
      <c r="A88" t="s">
        <v>46</v>
      </c>
    </row>
    <row r="89" spans="1:11">
      <c r="A89" t="s">
        <v>47</v>
      </c>
    </row>
    <row r="90" spans="1:11">
      <c r="A90" t="s">
        <v>48</v>
      </c>
    </row>
    <row r="91" spans="1:11">
      <c r="A91" t="s">
        <v>49</v>
      </c>
    </row>
    <row r="92" spans="1:11">
      <c r="A92" t="s">
        <v>50</v>
      </c>
    </row>
    <row r="93" spans="1:11">
      <c r="A93" t="s">
        <v>51</v>
      </c>
    </row>
    <row r="94" spans="1:11">
      <c r="A94" t="s">
        <v>52</v>
      </c>
    </row>
    <row r="95" spans="1:11">
      <c r="A95" t="s">
        <v>53</v>
      </c>
    </row>
    <row r="96" spans="1:11">
      <c r="A96" t="s">
        <v>104</v>
      </c>
    </row>
  </sheetData>
  <protectedRanges>
    <protectedRange algorithmName="SHA-512" hashValue="L3yXm/+zYPtFme7ETMer3IkE6jLIMsnT9GDvUt7NSbpPnOmMTEiEzv2URiRJ92gtFWy6ANF6LjGM53H3merqlw==" saltValue="eHpjqz7zJp0CWD0VS4cOHQ==" spinCount="100000" sqref="A76" name="Plage1"/>
  </protectedRanges>
  <mergeCells count="29">
    <mergeCell ref="C58:J58"/>
    <mergeCell ref="F11:H11"/>
    <mergeCell ref="J10:K10"/>
    <mergeCell ref="E10:I10"/>
    <mergeCell ref="C51:J51"/>
    <mergeCell ref="C39:J39"/>
    <mergeCell ref="C27:J27"/>
    <mergeCell ref="C21:I21"/>
    <mergeCell ref="C40:I40"/>
    <mergeCell ref="C12:E12"/>
    <mergeCell ref="C52:I52"/>
    <mergeCell ref="C57:J57"/>
    <mergeCell ref="I11:K11"/>
    <mergeCell ref="C20:H20"/>
    <mergeCell ref="B1:L1"/>
    <mergeCell ref="D6:K6"/>
    <mergeCell ref="D7:K7"/>
    <mergeCell ref="D8:K8"/>
    <mergeCell ref="D9:K9"/>
    <mergeCell ref="D5:K5"/>
    <mergeCell ref="D4:K4"/>
    <mergeCell ref="C72:K81"/>
    <mergeCell ref="D67:K69"/>
    <mergeCell ref="C59:K59"/>
    <mergeCell ref="C60:C63"/>
    <mergeCell ref="C64:C66"/>
    <mergeCell ref="C67:C69"/>
    <mergeCell ref="D60:K60"/>
    <mergeCell ref="D61:K66"/>
  </mergeCells>
  <dataValidations count="7">
    <dataValidation type="list" allowBlank="1" showInputMessage="1" showErrorMessage="1" sqref="J10" xr:uid="{00000000-0002-0000-0700-000000000000}">
      <formula1>$A$7:$A$10</formula1>
    </dataValidation>
    <dataValidation type="list" allowBlank="1" showInputMessage="1" showErrorMessage="1" sqref="F14:F19" xr:uid="{00000000-0002-0000-0700-000001000000}">
      <formula1>#REF!</formula1>
    </dataValidation>
    <dataValidation type="list" allowBlank="1" showInputMessage="1" showErrorMessage="1" sqref="C30:C38" xr:uid="{00000000-0002-0000-0700-000002000000}">
      <formula1>$A$50:$A$63</formula1>
    </dataValidation>
    <dataValidation type="list" allowBlank="1" showInputMessage="1" showErrorMessage="1" sqref="C53:C56" xr:uid="{00000000-0002-0000-0700-000003000000}">
      <formula1>$A$67:$A$72</formula1>
    </dataValidation>
    <dataValidation type="list" allowBlank="1" showInputMessage="1" showErrorMessage="1" sqref="F13" xr:uid="{00000000-0002-0000-0700-000004000000}">
      <formula1>$A$64:$A$67</formula1>
    </dataValidation>
    <dataValidation type="list" allowBlank="1" showInputMessage="1" showErrorMessage="1" sqref="C13:C19" xr:uid="{00000000-0002-0000-0700-000006000000}">
      <formula1>$A$12:$A$31</formula1>
    </dataValidation>
    <dataValidation type="list" allowBlank="1" showInputMessage="1" showErrorMessage="1" sqref="C22:C26" xr:uid="{00000000-0002-0000-0700-000005000000}">
      <formula1>$A$33:$A$49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52" orientation="portrait" horizontalDpi="300" verticalDpi="300" r:id="rId1"/>
  <customProperties>
    <customPr name="_pios_id" r:id="rId2"/>
  </customProperties>
  <ignoredErrors>
    <ignoredError sqref="J20" formula="1"/>
  </ignoredError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2990880E043E469315A8038A3A4128" ma:contentTypeVersion="11" ma:contentTypeDescription="Create a new document." ma:contentTypeScope="" ma:versionID="355061f0b6c3b3e7e1519412fe63b3c4">
  <xsd:schema xmlns:xsd="http://www.w3.org/2001/XMLSchema" xmlns:xs="http://www.w3.org/2001/XMLSchema" xmlns:p="http://schemas.microsoft.com/office/2006/metadata/properties" xmlns:ns3="e66054e7-f145-49f1-be89-8ed6a5500fb2" xmlns:ns4="cc7d5ed7-140d-4b95-b1a7-b1e243946696" targetNamespace="http://schemas.microsoft.com/office/2006/metadata/properties" ma:root="true" ma:fieldsID="8c2f2d081640a410165700fe12e112d3" ns3:_="" ns4:_="">
    <xsd:import namespace="e66054e7-f145-49f1-be89-8ed6a5500fb2"/>
    <xsd:import namespace="cc7d5ed7-140d-4b95-b1a7-b1e24394669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054e7-f145-49f1-be89-8ed6a5500f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7d5ed7-140d-4b95-b1a7-b1e24394669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8A4E80-E5B8-4291-BDF8-0C29A2AEF0BE}">
  <ds:schemaRefs>
    <ds:schemaRef ds:uri="http://purl.org/dc/terms/"/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cc7d5ed7-140d-4b95-b1a7-b1e243946696"/>
    <ds:schemaRef ds:uri="e66054e7-f145-49f1-be89-8ed6a5500fb2"/>
  </ds:schemaRefs>
</ds:datastoreItem>
</file>

<file path=customXml/itemProps2.xml><?xml version="1.0" encoding="utf-8"?>
<ds:datastoreItem xmlns:ds="http://schemas.openxmlformats.org/officeDocument/2006/customXml" ds:itemID="{199A6DB7-BDE0-4348-AF7F-06E1D2B7DA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6054e7-f145-49f1-be89-8ed6a5500fb2"/>
    <ds:schemaRef ds:uri="cc7d5ed7-140d-4b95-b1a7-b1e2439466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288713-ACC4-46F8-869A-79D55C0C3B9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Présentation OPTI'ROOF</vt:lpstr>
      <vt:lpstr>Paysage</vt:lpstr>
      <vt:lpstr>Présentation RS-R</vt:lpstr>
      <vt:lpstr>Portrait</vt:lpstr>
      <vt:lpstr>Calcul quantité</vt:lpstr>
      <vt:lpstr>Total note Calcul</vt:lpstr>
      <vt:lpstr>Récapitulatif</vt:lpstr>
      <vt:lpstr>Récapitulatif!Zone_d_impression</vt:lpstr>
    </vt:vector>
  </TitlesOfParts>
  <Company>Joris Ide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Margotton Sébastien</dc:creator>
  <cp:lastModifiedBy>Lucas Fournet</cp:lastModifiedBy>
  <cp:lastPrinted>2021-03-30T07:28:52Z</cp:lastPrinted>
  <dcterms:created xsi:type="dcterms:W3CDTF">2012-09-10T12:55:09Z</dcterms:created>
  <dcterms:modified xsi:type="dcterms:W3CDTF">2024-07-23T07:11:17Z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0x010100032990880E043E469315A8038A3A4128</vt:lpwstr>
  </property>
</Properties>
</file>